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135" windowHeight="9300" tabRatio="968" activeTab="2"/>
  </bookViews>
  <sheets>
    <sheet name="I" sheetId="28" r:id="rId1"/>
    <sheet name="1.0" sheetId="1" r:id="rId2"/>
    <sheet name="1a(RRB)" sheetId="2" r:id="rId3"/>
    <sheet name="1b" sheetId="3" r:id="rId4"/>
    <sheet name="1c (Rev.)" sheetId="4" r:id="rId5"/>
    <sheet name="1.1(i) (BS)" sheetId="5" r:id="rId6"/>
    <sheet name="1.1a(GFA)" sheetId="6" r:id="rId7"/>
    <sheet name="1.1b (Dep)" sheetId="7" r:id="rId8"/>
    <sheet name="1.1c(CWIP)" sheetId="8" r:id="rId9"/>
    <sheet name="1.1d" sheetId="26" state="hidden" r:id="rId10"/>
    <sheet name="1.1e" sheetId="25" r:id="rId11"/>
    <sheet name="1.1g(Loan)" sheetId="23" r:id="rId12"/>
    <sheet name="1.1g(i)" sheetId="24" r:id="rId13"/>
    <sheet name="1.1h(FL)" sheetId="22" r:id="rId14"/>
    <sheet name="1.1j(CA)" sheetId="21" r:id="rId15"/>
    <sheet name="1.1k(CL)" sheetId="9" r:id="rId16"/>
    <sheet name="1.1m(cap)" sheetId="20" r:id="rId17"/>
    <sheet name="1.1n(Res.)" sheetId="18" r:id="rId18"/>
    <sheet name="1.2 (CFS)" sheetId="17" r:id="rId19"/>
    <sheet name="1.3a((O&amp;M)" sheetId="29" r:id="rId20"/>
    <sheet name="1.3(i)" sheetId="27" r:id="rId21"/>
    <sheet name="1.3i" sheetId="15" r:id="rId22"/>
    <sheet name="7(Cont.)" sheetId="13" r:id="rId23"/>
    <sheet name="8" sheetId="12" r:id="rId24"/>
    <sheet name="9" sheetId="11" r:id="rId25"/>
    <sheet name="10 (NTI)" sheetId="10" r:id="rId26"/>
    <sheet name="O&amp;M" sheetId="32" state="hidden" r:id="rId27"/>
    <sheet name="3.3" sheetId="14" state="hidden" r:id="rId28"/>
  </sheets>
  <externalReferences>
    <externalReference r:id="rId29"/>
    <externalReference r:id="rId30"/>
  </externalReferences>
  <definedNames>
    <definedName name="_xlnm._FilterDatabase" localSheetId="26" hidden="1">'O&amp;M'!$A$1:$M$42</definedName>
    <definedName name="_xlnm.Print_Area" localSheetId="1">'1.0'!$A$2:$L$17</definedName>
    <definedName name="_xlnm.Print_Area" localSheetId="5">'1.1(i) (BS)'!$A$2:$M$35</definedName>
    <definedName name="_xlnm.Print_Area" localSheetId="6">'1.1a(GFA)'!$A$1:$G$352</definedName>
    <definedName name="_xlnm.Print_Area" localSheetId="7">'1.1b (Dep)'!$A$162:$K$352</definedName>
    <definedName name="_xlnm.Print_Area" localSheetId="8">'1.1c(CWIP)'!$A$2:$M$15</definedName>
    <definedName name="_xlnm.Print_Area" localSheetId="10">'1.1e'!$A$1:$M$16</definedName>
    <definedName name="_xlnm.Print_Area" localSheetId="12">'1.1g(i)'!$A$93:$I$163</definedName>
    <definedName name="_xlnm.Print_Area" localSheetId="11">'1.1g(Loan)'!$A$1:$Q$572</definedName>
    <definedName name="_xlnm.Print_Area" localSheetId="14">'1.1j(CA)'!$A$1:$M$11</definedName>
    <definedName name="_xlnm.Print_Area" localSheetId="15">'1.1k(CL)'!$A$1:$M$15</definedName>
    <definedName name="_xlnm.Print_Area" localSheetId="16">'1.1m(cap)'!$A$1:$M$18</definedName>
    <definedName name="_xlnm.Print_Area" localSheetId="17">'1.1n(Res.)'!$A$1:$M$11</definedName>
    <definedName name="_xlnm.Print_Area" localSheetId="18">'1.2 (CFS)'!$A$1:$L$48</definedName>
    <definedName name="_xlnm.Print_Area" localSheetId="20">'1.3(i)'!$A$1:$L$7</definedName>
    <definedName name="_xlnm.Print_Area" localSheetId="19">'1.3a((O&amp;M)'!$A$1:$E$101</definedName>
    <definedName name="_xlnm.Print_Area" localSheetId="21">'1.3i'!$A$1:$M$9</definedName>
    <definedName name="_xlnm.Print_Area" localSheetId="25">'10 (NTI)'!$A$1:$M$14</definedName>
    <definedName name="_xlnm.Print_Area" localSheetId="2">'1a(RRB)'!$A$1:$L$20</definedName>
    <definedName name="_xlnm.Print_Area" localSheetId="3">'1b'!$A$1:$M$11</definedName>
    <definedName name="_xlnm.Print_Area" localSheetId="4">'1c (Rev.)'!$A$1:$M$10</definedName>
    <definedName name="_xlnm.Print_Area" localSheetId="27">'3.3'!$A$1:$H$7</definedName>
    <definedName name="_xlnm.Print_Area" localSheetId="22">'7(Cont.)'!$A$34:$G$70</definedName>
    <definedName name="_xlnm.Print_Area" localSheetId="23">'8'!$A$1:$M$8</definedName>
    <definedName name="_xlnm.Print_Area" localSheetId="24">'9'!$A$1:$M$9</definedName>
    <definedName name="_xlnm.Print_Area" localSheetId="26">'O&amp;M'!$A$1:$K$37</definedName>
  </definedNames>
  <calcPr calcId="124519"/>
</workbook>
</file>

<file path=xl/calcChain.xml><?xml version="1.0" encoding="utf-8"?>
<calcChain xmlns="http://schemas.openxmlformats.org/spreadsheetml/2006/main">
  <c r="I90" i="6"/>
  <c r="K160"/>
  <c r="I167"/>
  <c r="I199" s="1"/>
  <c r="I231" s="1"/>
  <c r="I263" s="1"/>
  <c r="I295" s="1"/>
  <c r="I327" s="1"/>
  <c r="I168"/>
  <c r="I200" s="1"/>
  <c r="I232" s="1"/>
  <c r="I264" s="1"/>
  <c r="I296" s="1"/>
  <c r="I328" s="1"/>
  <c r="I169"/>
  <c r="I170"/>
  <c r="I202" s="1"/>
  <c r="I234" s="1"/>
  <c r="I266" s="1"/>
  <c r="I298" s="1"/>
  <c r="I330" s="1"/>
  <c r="I171"/>
  <c r="I203" s="1"/>
  <c r="I235" s="1"/>
  <c r="I267" s="1"/>
  <c r="I299" s="1"/>
  <c r="I331" s="1"/>
  <c r="I172"/>
  <c r="I204" s="1"/>
  <c r="I236" s="1"/>
  <c r="I268" s="1"/>
  <c r="I300" s="1"/>
  <c r="I332" s="1"/>
  <c r="I173"/>
  <c r="I174"/>
  <c r="I206" s="1"/>
  <c r="I238" s="1"/>
  <c r="I270" s="1"/>
  <c r="I302" s="1"/>
  <c r="I334" s="1"/>
  <c r="I175"/>
  <c r="I207" s="1"/>
  <c r="I239" s="1"/>
  <c r="I271" s="1"/>
  <c r="I303" s="1"/>
  <c r="I335" s="1"/>
  <c r="I176"/>
  <c r="I208" s="1"/>
  <c r="I240" s="1"/>
  <c r="I272" s="1"/>
  <c r="I304" s="1"/>
  <c r="I336" s="1"/>
  <c r="I177"/>
  <c r="I178"/>
  <c r="I210" s="1"/>
  <c r="I242" s="1"/>
  <c r="I274" s="1"/>
  <c r="I306" s="1"/>
  <c r="I338" s="1"/>
  <c r="I179"/>
  <c r="I211" s="1"/>
  <c r="I243" s="1"/>
  <c r="I275" s="1"/>
  <c r="I307" s="1"/>
  <c r="I339" s="1"/>
  <c r="I180"/>
  <c r="I212" s="1"/>
  <c r="I244" s="1"/>
  <c r="I276" s="1"/>
  <c r="I308" s="1"/>
  <c r="I340" s="1"/>
  <c r="I181"/>
  <c r="I182"/>
  <c r="I214" s="1"/>
  <c r="I246" s="1"/>
  <c r="I278" s="1"/>
  <c r="I310" s="1"/>
  <c r="I342" s="1"/>
  <c r="I183"/>
  <c r="I215" s="1"/>
  <c r="I247" s="1"/>
  <c r="I279" s="1"/>
  <c r="I311" s="1"/>
  <c r="I343" s="1"/>
  <c r="I184"/>
  <c r="I216" s="1"/>
  <c r="I248" s="1"/>
  <c r="I280" s="1"/>
  <c r="I312" s="1"/>
  <c r="I344" s="1"/>
  <c r="I185"/>
  <c r="I186"/>
  <c r="I218" s="1"/>
  <c r="I250" s="1"/>
  <c r="I282" s="1"/>
  <c r="I314" s="1"/>
  <c r="I346" s="1"/>
  <c r="I187"/>
  <c r="I219" s="1"/>
  <c r="I251" s="1"/>
  <c r="I283" s="1"/>
  <c r="I315" s="1"/>
  <c r="I347" s="1"/>
  <c r="I188"/>
  <c r="I220" s="1"/>
  <c r="I252" s="1"/>
  <c r="I284" s="1"/>
  <c r="I316" s="1"/>
  <c r="I348" s="1"/>
  <c r="I189"/>
  <c r="I190"/>
  <c r="I222" s="1"/>
  <c r="I254" s="1"/>
  <c r="I286" s="1"/>
  <c r="I318" s="1"/>
  <c r="I350" s="1"/>
  <c r="I191"/>
  <c r="I223" s="1"/>
  <c r="I255" s="1"/>
  <c r="I287" s="1"/>
  <c r="I319" s="1"/>
  <c r="I351" s="1"/>
  <c r="I201"/>
  <c r="I233" s="1"/>
  <c r="I265" s="1"/>
  <c r="I297" s="1"/>
  <c r="I329" s="1"/>
  <c r="I205"/>
  <c r="I237" s="1"/>
  <c r="I269" s="1"/>
  <c r="I301" s="1"/>
  <c r="I333" s="1"/>
  <c r="I209"/>
  <c r="I241" s="1"/>
  <c r="I273" s="1"/>
  <c r="I305" s="1"/>
  <c r="I337" s="1"/>
  <c r="I213"/>
  <c r="I245" s="1"/>
  <c r="I277" s="1"/>
  <c r="I309" s="1"/>
  <c r="I341" s="1"/>
  <c r="I217"/>
  <c r="I249" s="1"/>
  <c r="I281" s="1"/>
  <c r="I313" s="1"/>
  <c r="I345" s="1"/>
  <c r="I221"/>
  <c r="I253" s="1"/>
  <c r="I285" s="1"/>
  <c r="I317" s="1"/>
  <c r="I349" s="1"/>
  <c r="G13" i="17"/>
  <c r="G15"/>
  <c r="G14"/>
  <c r="H7" i="12" l="1"/>
  <c r="I7"/>
  <c r="J7"/>
  <c r="H6" i="18"/>
  <c r="H7"/>
  <c r="B105" i="24"/>
  <c r="H5" i="4" l="1"/>
  <c r="H10" s="1"/>
  <c r="I11" i="9"/>
  <c r="L15" i="17"/>
  <c r="K15"/>
  <c r="J15"/>
  <c r="I15"/>
  <c r="H15"/>
  <c r="L14"/>
  <c r="K14"/>
  <c r="J14"/>
  <c r="I14"/>
  <c r="H14"/>
  <c r="L13"/>
  <c r="K13"/>
  <c r="J13"/>
  <c r="I13"/>
  <c r="H13"/>
  <c r="I9" i="18"/>
  <c r="I11" i="5"/>
  <c r="I9" i="21" l="1"/>
  <c r="O9" s="1"/>
  <c r="K10"/>
  <c r="J10"/>
  <c r="I10"/>
  <c r="I10" i="9"/>
  <c r="H22"/>
  <c r="S31" i="5" l="1"/>
  <c r="R31"/>
  <c r="Q31"/>
  <c r="P31"/>
  <c r="O31"/>
  <c r="S30"/>
  <c r="R30"/>
  <c r="Q30"/>
  <c r="P30"/>
  <c r="S23"/>
  <c r="R23"/>
  <c r="Q23"/>
  <c r="P23"/>
  <c r="O23"/>
  <c r="I16"/>
  <c r="J16"/>
  <c r="H10" i="21"/>
  <c r="H7"/>
  <c r="H8"/>
  <c r="H18" i="9" l="1"/>
  <c r="I14"/>
  <c r="P16" i="5"/>
  <c r="I18" i="9" l="1"/>
  <c r="I19" s="1"/>
  <c r="H30" i="5"/>
  <c r="O30" s="1"/>
  <c r="E27" i="21" l="1"/>
  <c r="E28" s="1"/>
  <c r="E32" s="1"/>
  <c r="E15"/>
  <c r="E21" s="1"/>
  <c r="M28"/>
  <c r="L28"/>
  <c r="K28"/>
  <c r="J28"/>
  <c r="I28"/>
  <c r="H28"/>
  <c r="G28"/>
  <c r="F28"/>
  <c r="M21"/>
  <c r="L21"/>
  <c r="K21"/>
  <c r="J21"/>
  <c r="I21"/>
  <c r="H21"/>
  <c r="G21"/>
  <c r="F21"/>
  <c r="E30"/>
  <c r="E14"/>
  <c r="D30"/>
  <c r="D28"/>
  <c r="D21"/>
  <c r="V16" i="5"/>
  <c r="K328" i="23"/>
  <c r="D48" i="17"/>
  <c r="E47" s="1"/>
  <c r="E48"/>
  <c r="F47" s="1"/>
  <c r="F48"/>
  <c r="G48"/>
  <c r="H47" s="1"/>
  <c r="H48"/>
  <c r="I47" s="1"/>
  <c r="C48"/>
  <c r="D47" s="1"/>
  <c r="E32"/>
  <c r="F32"/>
  <c r="H32"/>
  <c r="I32"/>
  <c r="J32"/>
  <c r="K32"/>
  <c r="L32"/>
  <c r="D32"/>
  <c r="E25"/>
  <c r="F25" s="1"/>
  <c r="G25" s="1"/>
  <c r="H25" s="1"/>
  <c r="I25" s="1"/>
  <c r="J25" s="1"/>
  <c r="K25" s="1"/>
  <c r="L25" s="1"/>
  <c r="D25"/>
  <c r="D14"/>
  <c r="M22" i="10"/>
  <c r="M23" s="1"/>
  <c r="M21"/>
  <c r="M28" s="1"/>
  <c r="L22"/>
  <c r="L23" s="1"/>
  <c r="K22"/>
  <c r="K23" s="1"/>
  <c r="L21"/>
  <c r="K21"/>
  <c r="K26" s="1"/>
  <c r="L26" s="1"/>
  <c r="M26" s="1"/>
  <c r="J23"/>
  <c r="J22"/>
  <c r="J21"/>
  <c r="J25" s="1"/>
  <c r="K25" s="1"/>
  <c r="L25" s="1"/>
  <c r="M25" s="1"/>
  <c r="H24"/>
  <c r="H25" s="1"/>
  <c r="I22"/>
  <c r="I23" s="1"/>
  <c r="I21"/>
  <c r="I24" s="1"/>
  <c r="I48" i="17"/>
  <c r="J47" s="1"/>
  <c r="I8" i="18"/>
  <c r="G47" i="17" l="1"/>
  <c r="J24" i="10"/>
  <c r="I29"/>
  <c r="J8" i="18"/>
  <c r="H8" i="8"/>
  <c r="M31" i="32"/>
  <c r="L12" i="10"/>
  <c r="J29" l="1"/>
  <c r="K24"/>
  <c r="J48" i="17"/>
  <c r="K8" i="18"/>
  <c r="M12" i="10"/>
  <c r="K12"/>
  <c r="J12"/>
  <c r="I12"/>
  <c r="H12"/>
  <c r="L24" l="1"/>
  <c r="K29"/>
  <c r="K47" i="17"/>
  <c r="L48"/>
  <c r="K48"/>
  <c r="L47" s="1"/>
  <c r="L8" i="18"/>
  <c r="G28" i="10"/>
  <c r="G29" s="1"/>
  <c r="H13"/>
  <c r="L29" l="1"/>
  <c r="M24"/>
  <c r="M29" s="1"/>
  <c r="M8" i="18"/>
  <c r="G13" i="10"/>
  <c r="L7"/>
  <c r="M7" s="1"/>
  <c r="K7"/>
  <c r="J7"/>
  <c r="E13"/>
  <c r="D13"/>
  <c r="F6" i="32"/>
  <c r="F16" s="1"/>
  <c r="F7"/>
  <c r="F17" s="1"/>
  <c r="F5"/>
  <c r="F15" s="1"/>
  <c r="G8" i="8"/>
  <c r="F8"/>
  <c r="E8"/>
  <c r="D8"/>
  <c r="G10" i="2"/>
  <c r="E172" i="7"/>
  <c r="D39" i="13"/>
  <c r="N15" i="1"/>
  <c r="Q9"/>
  <c r="W10"/>
  <c r="R5"/>
  <c r="G11" i="8"/>
  <c r="E44" i="7"/>
  <c r="P5" i="1"/>
  <c r="D10" i="32"/>
  <c r="D15" s="1"/>
  <c r="O5" i="1"/>
  <c r="N5"/>
  <c r="F18" i="10"/>
  <c r="X13" i="1"/>
  <c r="X10"/>
  <c r="X7"/>
  <c r="W13"/>
  <c r="W7"/>
  <c r="V13"/>
  <c r="V10"/>
  <c r="V7"/>
  <c r="U13"/>
  <c r="U10"/>
  <c r="U7"/>
  <c r="T7"/>
  <c r="T10"/>
  <c r="T13"/>
  <c r="R15"/>
  <c r="Q15"/>
  <c r="P15"/>
  <c r="Q5"/>
  <c r="O15"/>
  <c r="D108" i="6"/>
  <c r="E108" i="7"/>
  <c r="E76"/>
  <c r="E188"/>
  <c r="E187"/>
  <c r="E156"/>
  <c r="E155"/>
  <c r="E140"/>
  <c r="E124"/>
  <c r="E123"/>
  <c r="E92"/>
  <c r="E91"/>
  <c r="E60"/>
  <c r="E59"/>
  <c r="B60"/>
  <c r="B59"/>
  <c r="B44"/>
  <c r="D172" i="6"/>
  <c r="D188"/>
  <c r="D156"/>
  <c r="D149"/>
  <c r="D140"/>
  <c r="D117"/>
  <c r="D92"/>
  <c r="D76"/>
  <c r="D60"/>
  <c r="D44"/>
  <c r="C60"/>
  <c r="C59"/>
  <c r="C44"/>
  <c r="E17" i="32"/>
  <c r="E16"/>
  <c r="E15"/>
  <c r="D17"/>
  <c r="D16"/>
  <c r="C17"/>
  <c r="C16"/>
  <c r="C15"/>
  <c r="B16"/>
  <c r="B17"/>
  <c r="B15"/>
  <c r="F13"/>
  <c r="E13"/>
  <c r="C13"/>
  <c r="B13"/>
  <c r="E8"/>
  <c r="D8"/>
  <c r="C8"/>
  <c r="B8"/>
  <c r="G17" i="10"/>
  <c r="G16"/>
  <c r="G18" s="1"/>
  <c r="H17"/>
  <c r="H16"/>
  <c r="H18" s="1"/>
  <c r="F8" i="32" l="1"/>
  <c r="D13"/>
  <c r="X17" i="5"/>
  <c r="X16"/>
  <c r="K43" i="9"/>
  <c r="J43"/>
  <c r="K16" i="5" l="1"/>
  <c r="K72" i="9"/>
  <c r="K67"/>
  <c r="G14" i="5"/>
  <c r="AD14" s="1"/>
  <c r="F14"/>
  <c r="AC14" s="1"/>
  <c r="W17"/>
  <c r="W16"/>
  <c r="F16"/>
  <c r="F14" i="9"/>
  <c r="I72"/>
  <c r="I73" s="1"/>
  <c r="I67"/>
  <c r="F9"/>
  <c r="G67"/>
  <c r="G43"/>
  <c r="U28" i="5"/>
  <c r="U24"/>
  <c r="D14" i="9"/>
  <c r="D23"/>
  <c r="E24" i="5"/>
  <c r="D24"/>
  <c r="E23" i="9"/>
  <c r="E25" s="1"/>
  <c r="E26" s="1"/>
  <c r="D25"/>
  <c r="D26" s="1"/>
  <c r="D9"/>
  <c r="E9"/>
  <c r="Q16" i="5" l="1"/>
  <c r="M16"/>
  <c r="L16"/>
  <c r="K73" i="9"/>
  <c r="Y9" i="5"/>
  <c r="X13"/>
  <c r="X9"/>
  <c r="W13"/>
  <c r="W9"/>
  <c r="S16" l="1"/>
  <c r="R16"/>
  <c r="H11"/>
  <c r="O11" s="1"/>
  <c r="AA27"/>
  <c r="AB27"/>
  <c r="AC27"/>
  <c r="AD27"/>
  <c r="AE27"/>
  <c r="AA30"/>
  <c r="AC30"/>
  <c r="AD30"/>
  <c r="AE30"/>
  <c r="AA31"/>
  <c r="AB31"/>
  <c r="AC31"/>
  <c r="AD31"/>
  <c r="AE31"/>
  <c r="AA32"/>
  <c r="AB32"/>
  <c r="AC32"/>
  <c r="AD32"/>
  <c r="AE23"/>
  <c r="AD23"/>
  <c r="AC23"/>
  <c r="AB23"/>
  <c r="AA23"/>
  <c r="AA18"/>
  <c r="AB18"/>
  <c r="AC18"/>
  <c r="AD18"/>
  <c r="AE18"/>
  <c r="AA19"/>
  <c r="AB19"/>
  <c r="AC19"/>
  <c r="AD19"/>
  <c r="AE19"/>
  <c r="Y17"/>
  <c r="X12" l="1"/>
  <c r="AC16"/>
  <c r="U34"/>
  <c r="AC11"/>
  <c r="AB11"/>
  <c r="AA11"/>
  <c r="Y34"/>
  <c r="Y12"/>
  <c r="U12"/>
  <c r="X8"/>
  <c r="Y8"/>
  <c r="V8"/>
  <c r="U8"/>
  <c r="P50" i="23"/>
  <c r="O50"/>
  <c r="M50"/>
  <c r="K50"/>
  <c r="J50"/>
  <c r="I50"/>
  <c r="P570"/>
  <c r="O570"/>
  <c r="M570"/>
  <c r="K570"/>
  <c r="J570"/>
  <c r="P518"/>
  <c r="O518"/>
  <c r="M518"/>
  <c r="K518"/>
  <c r="J518"/>
  <c r="P466"/>
  <c r="O466"/>
  <c r="M466"/>
  <c r="K466"/>
  <c r="J466"/>
  <c r="P414"/>
  <c r="O414"/>
  <c r="M414"/>
  <c r="K414"/>
  <c r="J414"/>
  <c r="P362"/>
  <c r="O362"/>
  <c r="M362"/>
  <c r="K362"/>
  <c r="J362"/>
  <c r="P310"/>
  <c r="O310"/>
  <c r="M310"/>
  <c r="K310"/>
  <c r="J310"/>
  <c r="P258"/>
  <c r="O258"/>
  <c r="M258"/>
  <c r="K258"/>
  <c r="J258"/>
  <c r="P206"/>
  <c r="O206"/>
  <c r="M206"/>
  <c r="K206"/>
  <c r="J206"/>
  <c r="P154"/>
  <c r="O154"/>
  <c r="M154"/>
  <c r="K154"/>
  <c r="J154"/>
  <c r="N291"/>
  <c r="N239"/>
  <c r="N187"/>
  <c r="N188"/>
  <c r="N189"/>
  <c r="N190"/>
  <c r="N191"/>
  <c r="N192"/>
  <c r="P102"/>
  <c r="O102"/>
  <c r="M102"/>
  <c r="K102"/>
  <c r="J102"/>
  <c r="I102"/>
  <c r="L83"/>
  <c r="I135" s="1"/>
  <c r="L135" s="1"/>
  <c r="I187" s="1"/>
  <c r="L187" s="1"/>
  <c r="I239" s="1"/>
  <c r="L239" s="1"/>
  <c r="I291" s="1"/>
  <c r="L291" s="1"/>
  <c r="I343" s="1"/>
  <c r="N83"/>
  <c r="L31"/>
  <c r="N31"/>
  <c r="N135"/>
  <c r="P89"/>
  <c r="O89"/>
  <c r="M89"/>
  <c r="K89"/>
  <c r="J89"/>
  <c r="I89"/>
  <c r="N569"/>
  <c r="N570" s="1"/>
  <c r="P568"/>
  <c r="O568"/>
  <c r="K568"/>
  <c r="J568"/>
  <c r="P565"/>
  <c r="O565"/>
  <c r="M565"/>
  <c r="K565"/>
  <c r="J565"/>
  <c r="N564"/>
  <c r="N565" s="1"/>
  <c r="P562"/>
  <c r="O562"/>
  <c r="M562"/>
  <c r="K562"/>
  <c r="J562"/>
  <c r="N561"/>
  <c r="N562" s="1"/>
  <c r="P557"/>
  <c r="O557"/>
  <c r="K557"/>
  <c r="J557"/>
  <c r="N536"/>
  <c r="N535"/>
  <c r="P533"/>
  <c r="O533"/>
  <c r="M533"/>
  <c r="K533"/>
  <c r="J533"/>
  <c r="N532"/>
  <c r="N533" s="1"/>
  <c r="P530"/>
  <c r="O530"/>
  <c r="M530"/>
  <c r="K530"/>
  <c r="J530"/>
  <c r="N529"/>
  <c r="N530" s="1"/>
  <c r="P527"/>
  <c r="O527"/>
  <c r="O558" s="1"/>
  <c r="M527"/>
  <c r="K527"/>
  <c r="J527"/>
  <c r="N526"/>
  <c r="N527" s="1"/>
  <c r="N517"/>
  <c r="N518" s="1"/>
  <c r="P516"/>
  <c r="O516"/>
  <c r="K516"/>
  <c r="J516"/>
  <c r="P513"/>
  <c r="O513"/>
  <c r="M513"/>
  <c r="K513"/>
  <c r="J513"/>
  <c r="N512"/>
  <c r="N513" s="1"/>
  <c r="P510"/>
  <c r="O510"/>
  <c r="M510"/>
  <c r="K510"/>
  <c r="J510"/>
  <c r="N509"/>
  <c r="N510" s="1"/>
  <c r="P505"/>
  <c r="O505"/>
  <c r="K505"/>
  <c r="J505"/>
  <c r="N484"/>
  <c r="N483"/>
  <c r="P481"/>
  <c r="O481"/>
  <c r="M481"/>
  <c r="K481"/>
  <c r="J481"/>
  <c r="N480"/>
  <c r="N481" s="1"/>
  <c r="P478"/>
  <c r="O478"/>
  <c r="M478"/>
  <c r="K478"/>
  <c r="J478"/>
  <c r="N477"/>
  <c r="N478" s="1"/>
  <c r="P475"/>
  <c r="O475"/>
  <c r="M475"/>
  <c r="K475"/>
  <c r="J475"/>
  <c r="N474"/>
  <c r="N475" s="1"/>
  <c r="N465"/>
  <c r="N466" s="1"/>
  <c r="P464"/>
  <c r="O464"/>
  <c r="K464"/>
  <c r="J464"/>
  <c r="P461"/>
  <c r="O461"/>
  <c r="M461"/>
  <c r="K461"/>
  <c r="J461"/>
  <c r="N460"/>
  <c r="N461" s="1"/>
  <c r="P458"/>
  <c r="O458"/>
  <c r="M458"/>
  <c r="K458"/>
  <c r="J458"/>
  <c r="N457"/>
  <c r="N458" s="1"/>
  <c r="P453"/>
  <c r="O453"/>
  <c r="K453"/>
  <c r="J453"/>
  <c r="N432"/>
  <c r="N431"/>
  <c r="P429"/>
  <c r="O429"/>
  <c r="M429"/>
  <c r="K429"/>
  <c r="J429"/>
  <c r="N428"/>
  <c r="N429" s="1"/>
  <c r="P426"/>
  <c r="O426"/>
  <c r="M426"/>
  <c r="K426"/>
  <c r="J426"/>
  <c r="N425"/>
  <c r="N426" s="1"/>
  <c r="P423"/>
  <c r="O423"/>
  <c r="M423"/>
  <c r="K423"/>
  <c r="J423"/>
  <c r="N422"/>
  <c r="N423" s="1"/>
  <c r="N413"/>
  <c r="N414" s="1"/>
  <c r="P412"/>
  <c r="O412"/>
  <c r="K412"/>
  <c r="J412"/>
  <c r="P409"/>
  <c r="O409"/>
  <c r="M409"/>
  <c r="K409"/>
  <c r="J409"/>
  <c r="N408"/>
  <c r="N409" s="1"/>
  <c r="P406"/>
  <c r="O406"/>
  <c r="M406"/>
  <c r="K406"/>
  <c r="J406"/>
  <c r="N405"/>
  <c r="N406" s="1"/>
  <c r="P401"/>
  <c r="O401"/>
  <c r="K401"/>
  <c r="J401"/>
  <c r="N380"/>
  <c r="N379"/>
  <c r="P377"/>
  <c r="O377"/>
  <c r="M377"/>
  <c r="K377"/>
  <c r="J377"/>
  <c r="N376"/>
  <c r="N377" s="1"/>
  <c r="P374"/>
  <c r="O374"/>
  <c r="M374"/>
  <c r="K374"/>
  <c r="J374"/>
  <c r="N373"/>
  <c r="N374" s="1"/>
  <c r="P371"/>
  <c r="O371"/>
  <c r="O402" s="1"/>
  <c r="M371"/>
  <c r="K371"/>
  <c r="J371"/>
  <c r="N370"/>
  <c r="N371" s="1"/>
  <c r="N361"/>
  <c r="N362" s="1"/>
  <c r="P360"/>
  <c r="O360"/>
  <c r="K360"/>
  <c r="J360"/>
  <c r="P357"/>
  <c r="O357"/>
  <c r="M357"/>
  <c r="K357"/>
  <c r="J357"/>
  <c r="N356"/>
  <c r="N357" s="1"/>
  <c r="P354"/>
  <c r="O354"/>
  <c r="M354"/>
  <c r="K354"/>
  <c r="J354"/>
  <c r="N353"/>
  <c r="N354" s="1"/>
  <c r="P349"/>
  <c r="O349"/>
  <c r="K349"/>
  <c r="J349"/>
  <c r="N328"/>
  <c r="N327"/>
  <c r="P325"/>
  <c r="O325"/>
  <c r="M325"/>
  <c r="K325"/>
  <c r="J325"/>
  <c r="N324"/>
  <c r="N325" s="1"/>
  <c r="P322"/>
  <c r="O322"/>
  <c r="M322"/>
  <c r="K322"/>
  <c r="J322"/>
  <c r="N321"/>
  <c r="N322" s="1"/>
  <c r="P319"/>
  <c r="O319"/>
  <c r="M319"/>
  <c r="K319"/>
  <c r="J319"/>
  <c r="N318"/>
  <c r="N319" s="1"/>
  <c r="N309"/>
  <c r="N310" s="1"/>
  <c r="P308"/>
  <c r="O308"/>
  <c r="M308"/>
  <c r="K308"/>
  <c r="J308"/>
  <c r="N308"/>
  <c r="P305"/>
  <c r="O305"/>
  <c r="M305"/>
  <c r="K305"/>
  <c r="J305"/>
  <c r="N304"/>
  <c r="N305" s="1"/>
  <c r="P302"/>
  <c r="O302"/>
  <c r="M302"/>
  <c r="K302"/>
  <c r="J302"/>
  <c r="N301"/>
  <c r="N302" s="1"/>
  <c r="P297"/>
  <c r="O297"/>
  <c r="M297"/>
  <c r="K297"/>
  <c r="J297"/>
  <c r="N296"/>
  <c r="N295"/>
  <c r="N294"/>
  <c r="N293"/>
  <c r="N292"/>
  <c r="N290"/>
  <c r="N289"/>
  <c r="N288"/>
  <c r="N287"/>
  <c r="N286"/>
  <c r="N285"/>
  <c r="N284"/>
  <c r="N283"/>
  <c r="N282"/>
  <c r="N281"/>
  <c r="N280"/>
  <c r="N279"/>
  <c r="N278"/>
  <c r="N277"/>
  <c r="N276"/>
  <c r="N275"/>
  <c r="P273"/>
  <c r="O273"/>
  <c r="M273"/>
  <c r="K273"/>
  <c r="J273"/>
  <c r="N272"/>
  <c r="N273" s="1"/>
  <c r="P270"/>
  <c r="O270"/>
  <c r="M270"/>
  <c r="K270"/>
  <c r="J270"/>
  <c r="N269"/>
  <c r="N270" s="1"/>
  <c r="P267"/>
  <c r="O267"/>
  <c r="M267"/>
  <c r="K267"/>
  <c r="J267"/>
  <c r="N266"/>
  <c r="N267" s="1"/>
  <c r="N257"/>
  <c r="N258" s="1"/>
  <c r="P256"/>
  <c r="O256"/>
  <c r="M256"/>
  <c r="K256"/>
  <c r="J256"/>
  <c r="N255"/>
  <c r="N256" s="1"/>
  <c r="P253"/>
  <c r="O253"/>
  <c r="M253"/>
  <c r="K253"/>
  <c r="J253"/>
  <c r="N252"/>
  <c r="N253" s="1"/>
  <c r="P250"/>
  <c r="O250"/>
  <c r="M250"/>
  <c r="K250"/>
  <c r="J250"/>
  <c r="N249"/>
  <c r="N250" s="1"/>
  <c r="P245"/>
  <c r="O245"/>
  <c r="M245"/>
  <c r="K245"/>
  <c r="J245"/>
  <c r="N244"/>
  <c r="N243"/>
  <c r="N242"/>
  <c r="N241"/>
  <c r="N240"/>
  <c r="N238"/>
  <c r="N237"/>
  <c r="N236"/>
  <c r="N235"/>
  <c r="N234"/>
  <c r="N233"/>
  <c r="N232"/>
  <c r="N231"/>
  <c r="N230"/>
  <c r="N229"/>
  <c r="N228"/>
  <c r="N227"/>
  <c r="N226"/>
  <c r="N225"/>
  <c r="N224"/>
  <c r="N223"/>
  <c r="P221"/>
  <c r="O221"/>
  <c r="M221"/>
  <c r="K221"/>
  <c r="J221"/>
  <c r="N220"/>
  <c r="N221" s="1"/>
  <c r="P218"/>
  <c r="O218"/>
  <c r="M218"/>
  <c r="K218"/>
  <c r="J218"/>
  <c r="N217"/>
  <c r="N218" s="1"/>
  <c r="P215"/>
  <c r="O215"/>
  <c r="M215"/>
  <c r="K215"/>
  <c r="J215"/>
  <c r="N214"/>
  <c r="N215" s="1"/>
  <c r="N205"/>
  <c r="N206" s="1"/>
  <c r="P204"/>
  <c r="O204"/>
  <c r="M204"/>
  <c r="K204"/>
  <c r="J204"/>
  <c r="N203"/>
  <c r="N204" s="1"/>
  <c r="P201"/>
  <c r="O201"/>
  <c r="M201"/>
  <c r="K201"/>
  <c r="J201"/>
  <c r="N200"/>
  <c r="N201" s="1"/>
  <c r="P198"/>
  <c r="O198"/>
  <c r="M198"/>
  <c r="K198"/>
  <c r="J198"/>
  <c r="N197"/>
  <c r="N198" s="1"/>
  <c r="P193"/>
  <c r="O193"/>
  <c r="M193"/>
  <c r="K193"/>
  <c r="J193"/>
  <c r="N186"/>
  <c r="N185"/>
  <c r="N184"/>
  <c r="N183"/>
  <c r="N182"/>
  <c r="N181"/>
  <c r="N180"/>
  <c r="N179"/>
  <c r="N178"/>
  <c r="N177"/>
  <c r="N176"/>
  <c r="N175"/>
  <c r="N174"/>
  <c r="N173"/>
  <c r="N172"/>
  <c r="N171"/>
  <c r="P169"/>
  <c r="O169"/>
  <c r="M169"/>
  <c r="K169"/>
  <c r="J169"/>
  <c r="N168"/>
  <c r="N169" s="1"/>
  <c r="P166"/>
  <c r="O166"/>
  <c r="M166"/>
  <c r="K166"/>
  <c r="J166"/>
  <c r="N165"/>
  <c r="N166" s="1"/>
  <c r="P163"/>
  <c r="O163"/>
  <c r="M163"/>
  <c r="K163"/>
  <c r="J163"/>
  <c r="N162"/>
  <c r="N163" s="1"/>
  <c r="N153"/>
  <c r="N154" s="1"/>
  <c r="P152"/>
  <c r="O152"/>
  <c r="M152"/>
  <c r="K152"/>
  <c r="J152"/>
  <c r="N151"/>
  <c r="N152" s="1"/>
  <c r="P149"/>
  <c r="O149"/>
  <c r="M149"/>
  <c r="K149"/>
  <c r="J149"/>
  <c r="N148"/>
  <c r="N149" s="1"/>
  <c r="P146"/>
  <c r="O146"/>
  <c r="M146"/>
  <c r="K146"/>
  <c r="J146"/>
  <c r="N145"/>
  <c r="N146" s="1"/>
  <c r="P141"/>
  <c r="O141"/>
  <c r="M141"/>
  <c r="K141"/>
  <c r="J141"/>
  <c r="N140"/>
  <c r="N139"/>
  <c r="N138"/>
  <c r="N137"/>
  <c r="N136"/>
  <c r="N134"/>
  <c r="N133"/>
  <c r="N132"/>
  <c r="N131"/>
  <c r="N130"/>
  <c r="N129"/>
  <c r="N128"/>
  <c r="N127"/>
  <c r="N126"/>
  <c r="N125"/>
  <c r="N124"/>
  <c r="N123"/>
  <c r="N122"/>
  <c r="N121"/>
  <c r="N120"/>
  <c r="N119"/>
  <c r="P117"/>
  <c r="O117"/>
  <c r="M117"/>
  <c r="K117"/>
  <c r="J117"/>
  <c r="N116"/>
  <c r="N117" s="1"/>
  <c r="P114"/>
  <c r="O114"/>
  <c r="M114"/>
  <c r="K114"/>
  <c r="J114"/>
  <c r="N113"/>
  <c r="N114" s="1"/>
  <c r="P111"/>
  <c r="O111"/>
  <c r="M111"/>
  <c r="K111"/>
  <c r="J111"/>
  <c r="N110"/>
  <c r="N111" s="1"/>
  <c r="N64"/>
  <c r="L70"/>
  <c r="I122" s="1"/>
  <c r="L122" s="1"/>
  <c r="I174" s="1"/>
  <c r="L174" s="1"/>
  <c r="I226" s="1"/>
  <c r="L226" s="1"/>
  <c r="I278" s="1"/>
  <c r="L278" s="1"/>
  <c r="I330" s="1"/>
  <c r="L74"/>
  <c r="I126" s="1"/>
  <c r="L126" s="1"/>
  <c r="I178" s="1"/>
  <c r="L178" s="1"/>
  <c r="I230" s="1"/>
  <c r="L230" s="1"/>
  <c r="I282" s="1"/>
  <c r="L282" s="1"/>
  <c r="I334" s="1"/>
  <c r="L78"/>
  <c r="I130" s="1"/>
  <c r="L130" s="1"/>
  <c r="I182" s="1"/>
  <c r="L182" s="1"/>
  <c r="I234" s="1"/>
  <c r="L234" s="1"/>
  <c r="I286" s="1"/>
  <c r="L286" s="1"/>
  <c r="I338" s="1"/>
  <c r="L82"/>
  <c r="I134" s="1"/>
  <c r="L134" s="1"/>
  <c r="I186" s="1"/>
  <c r="L186" s="1"/>
  <c r="I238" s="1"/>
  <c r="L238" s="1"/>
  <c r="I290" s="1"/>
  <c r="L290" s="1"/>
  <c r="I342" s="1"/>
  <c r="L87"/>
  <c r="L88"/>
  <c r="I140" s="1"/>
  <c r="N101"/>
  <c r="N102" s="1"/>
  <c r="L101"/>
  <c r="L102" s="1"/>
  <c r="P100"/>
  <c r="O100"/>
  <c r="M100"/>
  <c r="K100"/>
  <c r="J100"/>
  <c r="I100"/>
  <c r="N99"/>
  <c r="N100" s="1"/>
  <c r="L99"/>
  <c r="L100" s="1"/>
  <c r="P97"/>
  <c r="O97"/>
  <c r="M97"/>
  <c r="K97"/>
  <c r="J97"/>
  <c r="I97"/>
  <c r="N96"/>
  <c r="N97" s="1"/>
  <c r="L96"/>
  <c r="L97" s="1"/>
  <c r="P94"/>
  <c r="O94"/>
  <c r="M94"/>
  <c r="L94"/>
  <c r="K94"/>
  <c r="J94"/>
  <c r="I94"/>
  <c r="N93"/>
  <c r="N94" s="1"/>
  <c r="L93"/>
  <c r="I145" s="1"/>
  <c r="I146" s="1"/>
  <c r="N88"/>
  <c r="N87"/>
  <c r="N86"/>
  <c r="L86"/>
  <c r="I138" s="1"/>
  <c r="N85"/>
  <c r="L85"/>
  <c r="N84"/>
  <c r="L84"/>
  <c r="I136" s="1"/>
  <c r="N82"/>
  <c r="N81"/>
  <c r="L81"/>
  <c r="I133" s="1"/>
  <c r="L133" s="1"/>
  <c r="I185" s="1"/>
  <c r="L185" s="1"/>
  <c r="I237" s="1"/>
  <c r="L237" s="1"/>
  <c r="I289" s="1"/>
  <c r="L289" s="1"/>
  <c r="I341" s="1"/>
  <c r="N80"/>
  <c r="L80"/>
  <c r="I132" s="1"/>
  <c r="L132" s="1"/>
  <c r="I184" s="1"/>
  <c r="L184" s="1"/>
  <c r="I236" s="1"/>
  <c r="L236" s="1"/>
  <c r="I288" s="1"/>
  <c r="L288" s="1"/>
  <c r="I340" s="1"/>
  <c r="N79"/>
  <c r="L79"/>
  <c r="I131" s="1"/>
  <c r="L131" s="1"/>
  <c r="I183" s="1"/>
  <c r="L183" s="1"/>
  <c r="I235" s="1"/>
  <c r="L235" s="1"/>
  <c r="I287" s="1"/>
  <c r="L287" s="1"/>
  <c r="I339" s="1"/>
  <c r="N78"/>
  <c r="N77"/>
  <c r="L77"/>
  <c r="I129" s="1"/>
  <c r="L129" s="1"/>
  <c r="I181" s="1"/>
  <c r="L181" s="1"/>
  <c r="I233" s="1"/>
  <c r="L233" s="1"/>
  <c r="I285" s="1"/>
  <c r="L285" s="1"/>
  <c r="I337" s="1"/>
  <c r="N76"/>
  <c r="L76"/>
  <c r="I128" s="1"/>
  <c r="L128" s="1"/>
  <c r="I180" s="1"/>
  <c r="L180" s="1"/>
  <c r="I232" s="1"/>
  <c r="L232" s="1"/>
  <c r="I284" s="1"/>
  <c r="L284" s="1"/>
  <c r="I336" s="1"/>
  <c r="N75"/>
  <c r="L75"/>
  <c r="I127" s="1"/>
  <c r="L127" s="1"/>
  <c r="I179" s="1"/>
  <c r="L179" s="1"/>
  <c r="I231" s="1"/>
  <c r="L231" s="1"/>
  <c r="I283" s="1"/>
  <c r="L283" s="1"/>
  <c r="I335" s="1"/>
  <c r="N74"/>
  <c r="N73"/>
  <c r="L73"/>
  <c r="I125" s="1"/>
  <c r="L125" s="1"/>
  <c r="I177" s="1"/>
  <c r="L177" s="1"/>
  <c r="I229" s="1"/>
  <c r="L229" s="1"/>
  <c r="I281" s="1"/>
  <c r="L281" s="1"/>
  <c r="I333" s="1"/>
  <c r="N72"/>
  <c r="L72"/>
  <c r="I124" s="1"/>
  <c r="L124" s="1"/>
  <c r="I176" s="1"/>
  <c r="L176" s="1"/>
  <c r="I228" s="1"/>
  <c r="L228" s="1"/>
  <c r="I280" s="1"/>
  <c r="L280" s="1"/>
  <c r="I332" s="1"/>
  <c r="N71"/>
  <c r="L71"/>
  <c r="I123" s="1"/>
  <c r="L123" s="1"/>
  <c r="I175" s="1"/>
  <c r="L175" s="1"/>
  <c r="I227" s="1"/>
  <c r="L227" s="1"/>
  <c r="I279" s="1"/>
  <c r="L279" s="1"/>
  <c r="I331" s="1"/>
  <c r="N70"/>
  <c r="N69"/>
  <c r="L69"/>
  <c r="I121" s="1"/>
  <c r="L121" s="1"/>
  <c r="I173" s="1"/>
  <c r="L173" s="1"/>
  <c r="I225" s="1"/>
  <c r="L225" s="1"/>
  <c r="I277" s="1"/>
  <c r="L277" s="1"/>
  <c r="I329" s="1"/>
  <c r="N68"/>
  <c r="L68"/>
  <c r="I120" s="1"/>
  <c r="L120" s="1"/>
  <c r="I172" s="1"/>
  <c r="L172" s="1"/>
  <c r="I224" s="1"/>
  <c r="L224" s="1"/>
  <c r="I276" s="1"/>
  <c r="L276" s="1"/>
  <c r="I328" s="1"/>
  <c r="L328" s="1"/>
  <c r="I380" s="1"/>
  <c r="L380" s="1"/>
  <c r="I432" s="1"/>
  <c r="L432" s="1"/>
  <c r="I484" s="1"/>
  <c r="L484" s="1"/>
  <c r="I536" s="1"/>
  <c r="L536" s="1"/>
  <c r="N67"/>
  <c r="L67"/>
  <c r="I119" s="1"/>
  <c r="P65"/>
  <c r="O65"/>
  <c r="M65"/>
  <c r="K65"/>
  <c r="J65"/>
  <c r="I65"/>
  <c r="N65"/>
  <c r="L64"/>
  <c r="L65" s="1"/>
  <c r="P62"/>
  <c r="O62"/>
  <c r="M62"/>
  <c r="K62"/>
  <c r="J62"/>
  <c r="I62"/>
  <c r="N61"/>
  <c r="N62" s="1"/>
  <c r="L61"/>
  <c r="L62" s="1"/>
  <c r="P59"/>
  <c r="O59"/>
  <c r="M59"/>
  <c r="K59"/>
  <c r="J59"/>
  <c r="I59"/>
  <c r="N58"/>
  <c r="N59" s="1"/>
  <c r="L58"/>
  <c r="L59" s="1"/>
  <c r="P48"/>
  <c r="O48"/>
  <c r="M48"/>
  <c r="K48"/>
  <c r="J48"/>
  <c r="I48"/>
  <c r="P45"/>
  <c r="O45"/>
  <c r="M45"/>
  <c r="K45"/>
  <c r="J45"/>
  <c r="I45"/>
  <c r="P13"/>
  <c r="O13"/>
  <c r="M13"/>
  <c r="K13"/>
  <c r="J13"/>
  <c r="I13"/>
  <c r="P10"/>
  <c r="O10"/>
  <c r="M10"/>
  <c r="K10"/>
  <c r="J10"/>
  <c r="I10"/>
  <c r="P7"/>
  <c r="O7"/>
  <c r="M7"/>
  <c r="K7"/>
  <c r="J7"/>
  <c r="I7"/>
  <c r="E17" i="5"/>
  <c r="AB17" s="1"/>
  <c r="F17"/>
  <c r="G17"/>
  <c r="H17"/>
  <c r="AE17" s="1"/>
  <c r="I17"/>
  <c r="O17" s="1"/>
  <c r="J17"/>
  <c r="K17"/>
  <c r="Q17" s="1"/>
  <c r="L17"/>
  <c r="M17"/>
  <c r="G16"/>
  <c r="AD16" s="1"/>
  <c r="H16"/>
  <c r="E15"/>
  <c r="AB15" s="1"/>
  <c r="F15"/>
  <c r="AC15" s="1"/>
  <c r="G15"/>
  <c r="AD15" s="1"/>
  <c r="H15"/>
  <c r="AE15" s="1"/>
  <c r="I15"/>
  <c r="J15"/>
  <c r="P15" s="1"/>
  <c r="K15"/>
  <c r="L15"/>
  <c r="R15" s="1"/>
  <c r="M15"/>
  <c r="E14"/>
  <c r="AB14" s="1"/>
  <c r="H14"/>
  <c r="AE14" s="1"/>
  <c r="I14"/>
  <c r="O14" s="1"/>
  <c r="J14"/>
  <c r="K14"/>
  <c r="Q14" s="1"/>
  <c r="L14"/>
  <c r="M14"/>
  <c r="S14" s="1"/>
  <c r="E13"/>
  <c r="AB13" s="1"/>
  <c r="G13"/>
  <c r="AD13" s="1"/>
  <c r="H13"/>
  <c r="AE13" s="1"/>
  <c r="I13"/>
  <c r="O13" s="1"/>
  <c r="J13"/>
  <c r="K13"/>
  <c r="Q13" s="1"/>
  <c r="L13"/>
  <c r="M13"/>
  <c r="S13" s="1"/>
  <c r="G26"/>
  <c r="AD26" s="1"/>
  <c r="H26"/>
  <c r="AE26" s="1"/>
  <c r="I26"/>
  <c r="J26"/>
  <c r="K26"/>
  <c r="L26"/>
  <c r="M26"/>
  <c r="E171" i="7"/>
  <c r="E168"/>
  <c r="E181"/>
  <c r="R13" i="5" l="1"/>
  <c r="P13"/>
  <c r="R14"/>
  <c r="P14"/>
  <c r="S15"/>
  <c r="Q15"/>
  <c r="O15"/>
  <c r="P17"/>
  <c r="AE16"/>
  <c r="O16"/>
  <c r="M103" i="23"/>
  <c r="S17" i="5"/>
  <c r="R17"/>
  <c r="L333" i="23"/>
  <c r="I385" s="1"/>
  <c r="L335"/>
  <c r="I387" s="1"/>
  <c r="L337"/>
  <c r="I389" s="1"/>
  <c r="L338"/>
  <c r="I390" s="1"/>
  <c r="N207"/>
  <c r="P350"/>
  <c r="J103"/>
  <c r="P103"/>
  <c r="L332"/>
  <c r="I384" s="1"/>
  <c r="L341"/>
  <c r="I393" s="1"/>
  <c r="L342"/>
  <c r="I394" s="1"/>
  <c r="M342"/>
  <c r="N342" s="1"/>
  <c r="L103"/>
  <c r="I103"/>
  <c r="O103"/>
  <c r="L336"/>
  <c r="I388" s="1"/>
  <c r="L330"/>
  <c r="I382" s="1"/>
  <c r="L343"/>
  <c r="I395" s="1"/>
  <c r="L339"/>
  <c r="I391" s="1"/>
  <c r="L329"/>
  <c r="I381" s="1"/>
  <c r="L331"/>
  <c r="I383" s="1"/>
  <c r="L340"/>
  <c r="I392" s="1"/>
  <c r="L334"/>
  <c r="I386" s="1"/>
  <c r="N334"/>
  <c r="P142"/>
  <c r="M298"/>
  <c r="P506"/>
  <c r="K103"/>
  <c r="K519"/>
  <c r="AC17" i="5"/>
  <c r="K246" i="23"/>
  <c r="AD17" i="5"/>
  <c r="X20"/>
  <c r="W12"/>
  <c r="W8"/>
  <c r="V34"/>
  <c r="V12"/>
  <c r="U20"/>
  <c r="Y20"/>
  <c r="N103" i="23"/>
  <c r="I110"/>
  <c r="I111" s="1"/>
  <c r="O194"/>
  <c r="O246"/>
  <c r="N245"/>
  <c r="K350"/>
  <c r="P402"/>
  <c r="K506"/>
  <c r="K520" s="1"/>
  <c r="K39" i="17" s="1"/>
  <c r="P558" i="23"/>
  <c r="J558"/>
  <c r="P155"/>
  <c r="P207"/>
  <c r="P259"/>
  <c r="P311"/>
  <c r="P363"/>
  <c r="P364" s="1"/>
  <c r="K415"/>
  <c r="O415"/>
  <c r="O416" s="1"/>
  <c r="K467"/>
  <c r="O467"/>
  <c r="O519"/>
  <c r="J571"/>
  <c r="J142"/>
  <c r="J350"/>
  <c r="J506"/>
  <c r="I137"/>
  <c r="L137" s="1"/>
  <c r="I189" s="1"/>
  <c r="L189" s="1"/>
  <c r="I241" s="1"/>
  <c r="L241" s="1"/>
  <c r="I293" s="1"/>
  <c r="L293" s="1"/>
  <c r="I345" s="1"/>
  <c r="K155"/>
  <c r="O155"/>
  <c r="O207"/>
  <c r="K259"/>
  <c r="O259"/>
  <c r="K311"/>
  <c r="O311"/>
  <c r="K363"/>
  <c r="O363"/>
  <c r="J415"/>
  <c r="J467"/>
  <c r="J519"/>
  <c r="P298"/>
  <c r="J298"/>
  <c r="O350"/>
  <c r="P454"/>
  <c r="O506"/>
  <c r="N89"/>
  <c r="J155"/>
  <c r="J156" s="1"/>
  <c r="D38" i="17" s="1"/>
  <c r="J207" i="23"/>
  <c r="J259"/>
  <c r="N259"/>
  <c r="J311"/>
  <c r="N311"/>
  <c r="J363"/>
  <c r="P571"/>
  <c r="L138"/>
  <c r="I190" s="1"/>
  <c r="L190" s="1"/>
  <c r="O142"/>
  <c r="I116"/>
  <c r="L116" s="1"/>
  <c r="L117" s="1"/>
  <c r="P194"/>
  <c r="P246"/>
  <c r="J246"/>
  <c r="O298"/>
  <c r="N297"/>
  <c r="N298" s="1"/>
  <c r="K402"/>
  <c r="O454"/>
  <c r="K558"/>
  <c r="I139"/>
  <c r="L139" s="1"/>
  <c r="I191" s="1"/>
  <c r="L191" s="1"/>
  <c r="I243" s="1"/>
  <c r="L243" s="1"/>
  <c r="I295" s="1"/>
  <c r="L295" s="1"/>
  <c r="I347" s="1"/>
  <c r="M155"/>
  <c r="M207"/>
  <c r="M259"/>
  <c r="M311"/>
  <c r="P415"/>
  <c r="P416" s="1"/>
  <c r="P467"/>
  <c r="P519"/>
  <c r="P520" s="1"/>
  <c r="K571"/>
  <c r="O571"/>
  <c r="O572" s="1"/>
  <c r="K207"/>
  <c r="K194"/>
  <c r="N155"/>
  <c r="K454"/>
  <c r="J454"/>
  <c r="J402"/>
  <c r="K298"/>
  <c r="M246"/>
  <c r="I242"/>
  <c r="L242" s="1"/>
  <c r="I294" s="1"/>
  <c r="L294" s="1"/>
  <c r="I346" s="1"/>
  <c r="N193"/>
  <c r="N194" s="1"/>
  <c r="N208" s="1"/>
  <c r="M142"/>
  <c r="L136"/>
  <c r="L140"/>
  <c r="M194"/>
  <c r="J194"/>
  <c r="N141"/>
  <c r="N142" s="1"/>
  <c r="K142"/>
  <c r="I151"/>
  <c r="L151" s="1"/>
  <c r="L152" s="1"/>
  <c r="L89"/>
  <c r="L90" s="1"/>
  <c r="L104" s="1"/>
  <c r="D25" i="5" s="1"/>
  <c r="M90" i="23"/>
  <c r="M104" s="1"/>
  <c r="C10" i="17" s="1"/>
  <c r="K90" i="23"/>
  <c r="K104" s="1"/>
  <c r="C39" i="17" s="1"/>
  <c r="N90" i="23"/>
  <c r="J90"/>
  <c r="I153"/>
  <c r="I154" s="1"/>
  <c r="I148"/>
  <c r="L145"/>
  <c r="I141"/>
  <c r="I113"/>
  <c r="L110"/>
  <c r="N246"/>
  <c r="L119"/>
  <c r="O90"/>
  <c r="O104" s="1"/>
  <c r="P90"/>
  <c r="P104" s="1"/>
  <c r="I90"/>
  <c r="I104" s="1"/>
  <c r="D187" i="6"/>
  <c r="F14" i="10"/>
  <c r="E16" i="1" s="1"/>
  <c r="E14" i="10"/>
  <c r="D16" i="1" s="1"/>
  <c r="D14" i="10"/>
  <c r="M208" i="23" l="1"/>
  <c r="E10" i="17" s="1"/>
  <c r="M330" i="23"/>
  <c r="N330" s="1"/>
  <c r="M333"/>
  <c r="N333" s="1"/>
  <c r="K208"/>
  <c r="E39" i="17" s="1"/>
  <c r="M339" i="23"/>
  <c r="N339" s="1"/>
  <c r="M332"/>
  <c r="N332" s="1"/>
  <c r="J104"/>
  <c r="C38" i="17" s="1"/>
  <c r="M337" i="23"/>
  <c r="N337" s="1"/>
  <c r="K572"/>
  <c r="L39" i="17" s="1"/>
  <c r="N331" i="23"/>
  <c r="J520"/>
  <c r="K38" i="17" s="1"/>
  <c r="J416" i="23"/>
  <c r="I38" i="17" s="1"/>
  <c r="L345" i="23"/>
  <c r="I397" s="1"/>
  <c r="N345"/>
  <c r="L347"/>
  <c r="I399" s="1"/>
  <c r="L381"/>
  <c r="I433" s="1"/>
  <c r="M381"/>
  <c r="L388"/>
  <c r="I440" s="1"/>
  <c r="L393"/>
  <c r="I445" s="1"/>
  <c r="L387"/>
  <c r="I439" s="1"/>
  <c r="L386"/>
  <c r="I438" s="1"/>
  <c r="N386"/>
  <c r="L383"/>
  <c r="I435" s="1"/>
  <c r="L391"/>
  <c r="I443" s="1"/>
  <c r="L382"/>
  <c r="I434" s="1"/>
  <c r="L394"/>
  <c r="I446" s="1"/>
  <c r="M394"/>
  <c r="N394" s="1"/>
  <c r="L384"/>
  <c r="I436" s="1"/>
  <c r="L389"/>
  <c r="I441" s="1"/>
  <c r="L385"/>
  <c r="I437" s="1"/>
  <c r="M156"/>
  <c r="D10" i="17" s="1"/>
  <c r="M340" i="23"/>
  <c r="N340" s="1"/>
  <c r="M329"/>
  <c r="M343"/>
  <c r="N343" s="1"/>
  <c r="M336"/>
  <c r="N336" s="1"/>
  <c r="M341"/>
  <c r="N341" s="1"/>
  <c r="M338"/>
  <c r="N338" s="1"/>
  <c r="M335"/>
  <c r="N335" s="1"/>
  <c r="I117"/>
  <c r="I203"/>
  <c r="I204" s="1"/>
  <c r="P468"/>
  <c r="P572"/>
  <c r="K260"/>
  <c r="F39" i="17" s="1"/>
  <c r="P312" i="23"/>
  <c r="N104"/>
  <c r="L392"/>
  <c r="I444" s="1"/>
  <c r="L395"/>
  <c r="I447" s="1"/>
  <c r="L390"/>
  <c r="I442" s="1"/>
  <c r="L346"/>
  <c r="I398" s="1"/>
  <c r="M312"/>
  <c r="G10" i="17" s="1"/>
  <c r="O260" i="23"/>
  <c r="P156"/>
  <c r="K416"/>
  <c r="I39" i="17" s="1"/>
  <c r="AA25" i="5"/>
  <c r="K156" i="23"/>
  <c r="D39" i="17" s="1"/>
  <c r="D44" s="1"/>
  <c r="W20" i="5"/>
  <c r="V20"/>
  <c r="I192" i="23"/>
  <c r="L192" s="1"/>
  <c r="I244" s="1"/>
  <c r="L244" s="1"/>
  <c r="I296" s="1"/>
  <c r="L296" s="1"/>
  <c r="I348" s="1"/>
  <c r="N312"/>
  <c r="O364"/>
  <c r="K468"/>
  <c r="J39" i="17" s="1"/>
  <c r="N156" i="23"/>
  <c r="J364"/>
  <c r="H38" i="17" s="1"/>
  <c r="J260" i="23"/>
  <c r="F38" i="17" s="1"/>
  <c r="K312" i="23"/>
  <c r="G39" i="17" s="1"/>
  <c r="O156" i="23"/>
  <c r="O468"/>
  <c r="I168"/>
  <c r="I169" s="1"/>
  <c r="M260"/>
  <c r="F10" i="17" s="1"/>
  <c r="N260" i="23"/>
  <c r="O312"/>
  <c r="O208"/>
  <c r="O520"/>
  <c r="P208"/>
  <c r="L153"/>
  <c r="L154" s="1"/>
  <c r="J208"/>
  <c r="E38" i="17" s="1"/>
  <c r="E44" s="1"/>
  <c r="J312" i="23"/>
  <c r="G38" i="17" s="1"/>
  <c r="J468" i="23"/>
  <c r="J38" i="17" s="1"/>
  <c r="K364" i="23"/>
  <c r="H39" i="17" s="1"/>
  <c r="J572" i="23"/>
  <c r="L38" i="17" s="1"/>
  <c r="P260" i="23"/>
  <c r="I240"/>
  <c r="L240" s="1"/>
  <c r="I292" s="1"/>
  <c r="L292" s="1"/>
  <c r="I344" s="1"/>
  <c r="I188"/>
  <c r="L188" s="1"/>
  <c r="I152"/>
  <c r="L203"/>
  <c r="L148"/>
  <c r="I149"/>
  <c r="L146"/>
  <c r="I197"/>
  <c r="L141"/>
  <c r="I171"/>
  <c r="I114"/>
  <c r="I142" s="1"/>
  <c r="L113"/>
  <c r="L111"/>
  <c r="I162"/>
  <c r="H14" i="10"/>
  <c r="G16" i="1" s="1"/>
  <c r="AC33" i="5"/>
  <c r="G33"/>
  <c r="AD33" s="1"/>
  <c r="I155" i="23" l="1"/>
  <c r="F44" i="17"/>
  <c r="G42"/>
  <c r="G18" s="1"/>
  <c r="M389" i="23"/>
  <c r="N389" s="1"/>
  <c r="M391"/>
  <c r="N391" s="1"/>
  <c r="M393"/>
  <c r="N393" s="1"/>
  <c r="L344"/>
  <c r="I396" s="1"/>
  <c r="L348"/>
  <c r="I400" s="1"/>
  <c r="L398"/>
  <c r="I450" s="1"/>
  <c r="M398"/>
  <c r="N398" s="1"/>
  <c r="L447"/>
  <c r="I499" s="1"/>
  <c r="N381"/>
  <c r="N329"/>
  <c r="L437"/>
  <c r="I489" s="1"/>
  <c r="L436"/>
  <c r="I488" s="1"/>
  <c r="L434"/>
  <c r="I486" s="1"/>
  <c r="L435"/>
  <c r="I487" s="1"/>
  <c r="L439"/>
  <c r="I491" s="1"/>
  <c r="L440"/>
  <c r="I492" s="1"/>
  <c r="L399"/>
  <c r="I451" s="1"/>
  <c r="N399"/>
  <c r="L442"/>
  <c r="I494" s="1"/>
  <c r="L444"/>
  <c r="I496" s="1"/>
  <c r="M444"/>
  <c r="N444" s="1"/>
  <c r="L441"/>
  <c r="I493" s="1"/>
  <c r="L446"/>
  <c r="I498" s="1"/>
  <c r="L443"/>
  <c r="I495" s="1"/>
  <c r="L438"/>
  <c r="I490" s="1"/>
  <c r="N438"/>
  <c r="L445"/>
  <c r="I497" s="1"/>
  <c r="L433"/>
  <c r="I485" s="1"/>
  <c r="L397"/>
  <c r="I449" s="1"/>
  <c r="M346"/>
  <c r="N346" s="1"/>
  <c r="M395"/>
  <c r="N395" s="1"/>
  <c r="I156"/>
  <c r="M385"/>
  <c r="N385" s="1"/>
  <c r="M384"/>
  <c r="N384" s="1"/>
  <c r="M382"/>
  <c r="N382" s="1"/>
  <c r="N383"/>
  <c r="M387"/>
  <c r="N387" s="1"/>
  <c r="M388"/>
  <c r="N388" s="1"/>
  <c r="N347"/>
  <c r="I205"/>
  <c r="I206" s="1"/>
  <c r="M390"/>
  <c r="N390" s="1"/>
  <c r="M392"/>
  <c r="N392" s="1"/>
  <c r="X34" i="5"/>
  <c r="L168" i="23"/>
  <c r="L169" s="1"/>
  <c r="L204"/>
  <c r="I255"/>
  <c r="L149"/>
  <c r="L155" s="1"/>
  <c r="I200"/>
  <c r="I198"/>
  <c r="L197"/>
  <c r="I193"/>
  <c r="L171"/>
  <c r="I165"/>
  <c r="L114"/>
  <c r="L142" s="1"/>
  <c r="I163"/>
  <c r="L162"/>
  <c r="G7" i="10"/>
  <c r="G14" s="1"/>
  <c r="F16" i="1" s="1"/>
  <c r="D124" i="6"/>
  <c r="M434" i="23" l="1"/>
  <c r="N434" s="1"/>
  <c r="M433"/>
  <c r="N433" s="1"/>
  <c r="M446"/>
  <c r="N446" s="1"/>
  <c r="M439"/>
  <c r="N439" s="1"/>
  <c r="M437"/>
  <c r="N437" s="1"/>
  <c r="N344"/>
  <c r="L449"/>
  <c r="I501" s="1"/>
  <c r="N449"/>
  <c r="L497"/>
  <c r="I549" s="1"/>
  <c r="L493"/>
  <c r="I545" s="1"/>
  <c r="L494"/>
  <c r="I546" s="1"/>
  <c r="L487"/>
  <c r="I539" s="1"/>
  <c r="N487"/>
  <c r="L488"/>
  <c r="I540" s="1"/>
  <c r="L499"/>
  <c r="I551" s="1"/>
  <c r="M499"/>
  <c r="N499" s="1"/>
  <c r="L485"/>
  <c r="I537" s="1"/>
  <c r="L490"/>
  <c r="I542" s="1"/>
  <c r="N490"/>
  <c r="L498"/>
  <c r="I550" s="1"/>
  <c r="L496"/>
  <c r="I548" s="1"/>
  <c r="L451"/>
  <c r="I503" s="1"/>
  <c r="L491"/>
  <c r="I543" s="1"/>
  <c r="L486"/>
  <c r="I538" s="1"/>
  <c r="L489"/>
  <c r="I541" s="1"/>
  <c r="L450"/>
  <c r="I502" s="1"/>
  <c r="L396"/>
  <c r="I448" s="1"/>
  <c r="N396"/>
  <c r="I220"/>
  <c r="L495"/>
  <c r="I547" s="1"/>
  <c r="L492"/>
  <c r="I544" s="1"/>
  <c r="L400"/>
  <c r="I452" s="1"/>
  <c r="L205"/>
  <c r="L206" s="1"/>
  <c r="N397"/>
  <c r="M445"/>
  <c r="N445" s="1"/>
  <c r="M443"/>
  <c r="N443" s="1"/>
  <c r="M441"/>
  <c r="N441" s="1"/>
  <c r="M442"/>
  <c r="N442" s="1"/>
  <c r="M440"/>
  <c r="N440" s="1"/>
  <c r="N435"/>
  <c r="M436"/>
  <c r="N436" s="1"/>
  <c r="M447"/>
  <c r="N447" s="1"/>
  <c r="N348"/>
  <c r="L156"/>
  <c r="E25" i="5" s="1"/>
  <c r="AB25" s="1"/>
  <c r="L255" i="23"/>
  <c r="I256"/>
  <c r="L200"/>
  <c r="I201"/>
  <c r="I207" s="1"/>
  <c r="L198"/>
  <c r="I249"/>
  <c r="I223"/>
  <c r="L193"/>
  <c r="L220"/>
  <c r="I221"/>
  <c r="I166"/>
  <c r="I194" s="1"/>
  <c r="L165"/>
  <c r="I214"/>
  <c r="L163"/>
  <c r="X40" i="26"/>
  <c r="G12" i="8"/>
  <c r="F12"/>
  <c r="E12"/>
  <c r="M496" i="23" l="1"/>
  <c r="N496" s="1"/>
  <c r="M493"/>
  <c r="N493" s="1"/>
  <c r="M400"/>
  <c r="N400" s="1"/>
  <c r="M489"/>
  <c r="N489" s="1"/>
  <c r="M495"/>
  <c r="N495" s="1"/>
  <c r="N401"/>
  <c r="N402" s="1"/>
  <c r="M491"/>
  <c r="N491" s="1"/>
  <c r="N349"/>
  <c r="N350" s="1"/>
  <c r="L502"/>
  <c r="I554" s="1"/>
  <c r="L503"/>
  <c r="I555" s="1"/>
  <c r="L537"/>
  <c r="M537" s="1"/>
  <c r="L540"/>
  <c r="M540" s="1"/>
  <c r="N540" s="1"/>
  <c r="L549"/>
  <c r="M549" s="1"/>
  <c r="N549" s="1"/>
  <c r="L452"/>
  <c r="I504" s="1"/>
  <c r="L547"/>
  <c r="M547" s="1"/>
  <c r="N547" s="1"/>
  <c r="L448"/>
  <c r="I500" s="1"/>
  <c r="L541"/>
  <c r="M541" s="1"/>
  <c r="N541" s="1"/>
  <c r="L543"/>
  <c r="M543" s="1"/>
  <c r="N543" s="1"/>
  <c r="L548"/>
  <c r="M548" s="1"/>
  <c r="N548" s="1"/>
  <c r="L542"/>
  <c r="N542" s="1"/>
  <c r="L551"/>
  <c r="M551" s="1"/>
  <c r="N551" s="1"/>
  <c r="L539"/>
  <c r="N539" s="1"/>
  <c r="L545"/>
  <c r="M545" s="1"/>
  <c r="N545" s="1"/>
  <c r="L501"/>
  <c r="I553" s="1"/>
  <c r="L553" s="1"/>
  <c r="N553" s="1"/>
  <c r="M401"/>
  <c r="M402" s="1"/>
  <c r="L544"/>
  <c r="M544" s="1"/>
  <c r="N544" s="1"/>
  <c r="L538"/>
  <c r="M538" s="1"/>
  <c r="N538" s="1"/>
  <c r="L550"/>
  <c r="M550" s="1"/>
  <c r="N550" s="1"/>
  <c r="L546"/>
  <c r="M546" s="1"/>
  <c r="N546" s="1"/>
  <c r="I208"/>
  <c r="I257"/>
  <c r="I258" s="1"/>
  <c r="M349"/>
  <c r="M350" s="1"/>
  <c r="M492"/>
  <c r="N492" s="1"/>
  <c r="M450"/>
  <c r="N450" s="1"/>
  <c r="M486"/>
  <c r="N486" s="1"/>
  <c r="N451"/>
  <c r="M498"/>
  <c r="N498" s="1"/>
  <c r="M485"/>
  <c r="M488"/>
  <c r="N488" s="1"/>
  <c r="M494"/>
  <c r="N494" s="1"/>
  <c r="M497"/>
  <c r="N497" s="1"/>
  <c r="L256"/>
  <c r="I307"/>
  <c r="I252"/>
  <c r="L201"/>
  <c r="L207" s="1"/>
  <c r="I250"/>
  <c r="L249"/>
  <c r="I245"/>
  <c r="L223"/>
  <c r="L221"/>
  <c r="I272"/>
  <c r="I217"/>
  <c r="L166"/>
  <c r="L194" s="1"/>
  <c r="L208" s="1"/>
  <c r="F25" i="5" s="1"/>
  <c r="AC25" s="1"/>
  <c r="I215" i="23"/>
  <c r="L214"/>
  <c r="L257" l="1"/>
  <c r="L258" s="1"/>
  <c r="N537"/>
  <c r="L554"/>
  <c r="M554" s="1"/>
  <c r="N554" s="1"/>
  <c r="N485"/>
  <c r="M502"/>
  <c r="N502" s="1"/>
  <c r="N501"/>
  <c r="M452"/>
  <c r="N452" s="1"/>
  <c r="M503"/>
  <c r="N503" s="1"/>
  <c r="L500"/>
  <c r="I552" s="1"/>
  <c r="N500"/>
  <c r="L504"/>
  <c r="I556" s="1"/>
  <c r="L555"/>
  <c r="N555" s="1"/>
  <c r="I309"/>
  <c r="I310" s="1"/>
  <c r="L307"/>
  <c r="I308"/>
  <c r="I253"/>
  <c r="I259" s="1"/>
  <c r="L252"/>
  <c r="L250"/>
  <c r="I301"/>
  <c r="I275"/>
  <c r="L245"/>
  <c r="L272"/>
  <c r="I273"/>
  <c r="L217"/>
  <c r="I218"/>
  <c r="I246" s="1"/>
  <c r="I266"/>
  <c r="L215"/>
  <c r="D192" i="6"/>
  <c r="E192" i="7"/>
  <c r="G6" i="1" s="1"/>
  <c r="G7" i="17" l="1"/>
  <c r="X6" i="1"/>
  <c r="N448" i="23"/>
  <c r="N453" s="1"/>
  <c r="N454" s="1"/>
  <c r="M453"/>
  <c r="M454" s="1"/>
  <c r="L556"/>
  <c r="M556" s="1"/>
  <c r="N556" s="1"/>
  <c r="L552"/>
  <c r="M552" s="1"/>
  <c r="M504"/>
  <c r="N504" s="1"/>
  <c r="N505" s="1"/>
  <c r="N506" s="1"/>
  <c r="I260"/>
  <c r="L309"/>
  <c r="L310" s="1"/>
  <c r="L308"/>
  <c r="I359"/>
  <c r="L253"/>
  <c r="L259" s="1"/>
  <c r="I304"/>
  <c r="I302"/>
  <c r="L301"/>
  <c r="I297"/>
  <c r="L275"/>
  <c r="L273"/>
  <c r="I324"/>
  <c r="I269"/>
  <c r="L218"/>
  <c r="L246" s="1"/>
  <c r="I267"/>
  <c r="L266"/>
  <c r="E25" i="13"/>
  <c r="F6" i="21"/>
  <c r="D16" i="5"/>
  <c r="AA16" s="1"/>
  <c r="E30"/>
  <c r="AB30" s="1"/>
  <c r="I25" i="13"/>
  <c r="D19"/>
  <c r="C13"/>
  <c r="F14" i="17" l="1"/>
  <c r="E14"/>
  <c r="F13" i="5"/>
  <c r="AC13" s="1"/>
  <c r="N552" i="23"/>
  <c r="N557" s="1"/>
  <c r="N558" s="1"/>
  <c r="M557"/>
  <c r="M558" s="1"/>
  <c r="M505"/>
  <c r="M506" s="1"/>
  <c r="I32" i="5"/>
  <c r="AE32"/>
  <c r="L260" i="23"/>
  <c r="G25" i="5" s="1"/>
  <c r="AD25" s="1"/>
  <c r="I361" i="23"/>
  <c r="I362" s="1"/>
  <c r="L359"/>
  <c r="M359" s="1"/>
  <c r="I360"/>
  <c r="I305"/>
  <c r="I311" s="1"/>
  <c r="L304"/>
  <c r="L302"/>
  <c r="I353"/>
  <c r="I327"/>
  <c r="L297"/>
  <c r="I325"/>
  <c r="L324"/>
  <c r="L269"/>
  <c r="I270"/>
  <c r="I298" s="1"/>
  <c r="L267"/>
  <c r="I318"/>
  <c r="J32" i="5" l="1"/>
  <c r="O32"/>
  <c r="M360" i="23"/>
  <c r="M363" s="1"/>
  <c r="M364" s="1"/>
  <c r="N359"/>
  <c r="N360" s="1"/>
  <c r="N363" s="1"/>
  <c r="N364" s="1"/>
  <c r="I312"/>
  <c r="L361"/>
  <c r="L362" s="1"/>
  <c r="L360"/>
  <c r="I411"/>
  <c r="L411" s="1"/>
  <c r="I356"/>
  <c r="L305"/>
  <c r="L311" s="1"/>
  <c r="I354"/>
  <c r="L353"/>
  <c r="I349"/>
  <c r="L327"/>
  <c r="L325"/>
  <c r="I376"/>
  <c r="I321"/>
  <c r="L270"/>
  <c r="L298" s="1"/>
  <c r="I319"/>
  <c r="L318"/>
  <c r="K43" i="32"/>
  <c r="J43"/>
  <c r="I43"/>
  <c r="H43"/>
  <c r="G43"/>
  <c r="F43"/>
  <c r="E43"/>
  <c r="D43"/>
  <c r="C43"/>
  <c r="B43"/>
  <c r="K41"/>
  <c r="J41"/>
  <c r="I41"/>
  <c r="H41"/>
  <c r="G41"/>
  <c r="F41"/>
  <c r="E41"/>
  <c r="D41"/>
  <c r="C41"/>
  <c r="B41"/>
  <c r="K44"/>
  <c r="J44"/>
  <c r="I44"/>
  <c r="H44"/>
  <c r="G44"/>
  <c r="F44"/>
  <c r="E44"/>
  <c r="D44"/>
  <c r="C44"/>
  <c r="K42"/>
  <c r="J42"/>
  <c r="I42"/>
  <c r="H42"/>
  <c r="G42"/>
  <c r="F42"/>
  <c r="E42"/>
  <c r="D42"/>
  <c r="C42"/>
  <c r="K32" i="5" l="1"/>
  <c r="P32"/>
  <c r="H10" i="17"/>
  <c r="H42" s="1"/>
  <c r="M412" i="23"/>
  <c r="M415" s="1"/>
  <c r="M416" s="1"/>
  <c r="N411"/>
  <c r="N412" s="1"/>
  <c r="N415" s="1"/>
  <c r="N416" s="1"/>
  <c r="L312"/>
  <c r="H25" i="5" s="1"/>
  <c r="AE25" s="1"/>
  <c r="I413" i="23"/>
  <c r="I414" s="1"/>
  <c r="I412"/>
  <c r="L356"/>
  <c r="I357"/>
  <c r="I363" s="1"/>
  <c r="L354"/>
  <c r="I405"/>
  <c r="L349"/>
  <c r="I379"/>
  <c r="I377"/>
  <c r="L376"/>
  <c r="L321"/>
  <c r="I322"/>
  <c r="I350" s="1"/>
  <c r="L319"/>
  <c r="I370"/>
  <c r="E18" i="32"/>
  <c r="L32" i="5" l="1"/>
  <c r="Q32"/>
  <c r="I10" i="17"/>
  <c r="I42" s="1"/>
  <c r="B18" i="32"/>
  <c r="D16" i="29" s="1"/>
  <c r="C18" i="32"/>
  <c r="D18"/>
  <c r="D34" i="29" s="1"/>
  <c r="D43"/>
  <c r="I364" i="23"/>
  <c r="L413"/>
  <c r="L414" s="1"/>
  <c r="L412"/>
  <c r="I463"/>
  <c r="L463" s="1"/>
  <c r="L357"/>
  <c r="L363" s="1"/>
  <c r="I408"/>
  <c r="I406"/>
  <c r="L405"/>
  <c r="I401"/>
  <c r="L379"/>
  <c r="L377"/>
  <c r="I428"/>
  <c r="I373"/>
  <c r="L322"/>
  <c r="L350" s="1"/>
  <c r="I371"/>
  <c r="L370"/>
  <c r="D11" i="8"/>
  <c r="D7"/>
  <c r="M18" i="20"/>
  <c r="M7" i="12" s="1"/>
  <c r="L18" i="20"/>
  <c r="L7" i="12" s="1"/>
  <c r="K18" i="20"/>
  <c r="K7" i="12" s="1"/>
  <c r="J18" i="20"/>
  <c r="I18"/>
  <c r="H18"/>
  <c r="C192" i="7"/>
  <c r="M32" i="5" l="1"/>
  <c r="S32" s="1"/>
  <c r="R32"/>
  <c r="E38" i="32"/>
  <c r="C38"/>
  <c r="D25" i="29"/>
  <c r="D38" i="32"/>
  <c r="N463" i="23"/>
  <c r="N464" s="1"/>
  <c r="N467" s="1"/>
  <c r="N468" s="1"/>
  <c r="M464"/>
  <c r="M467" s="1"/>
  <c r="M468" s="1"/>
  <c r="L364"/>
  <c r="I25" i="5" s="1"/>
  <c r="O25" s="1"/>
  <c r="I465" i="23"/>
  <c r="I466" s="1"/>
  <c r="I464"/>
  <c r="I409"/>
  <c r="I415" s="1"/>
  <c r="L408"/>
  <c r="I457"/>
  <c r="L406"/>
  <c r="L401"/>
  <c r="I431"/>
  <c r="I429"/>
  <c r="L428"/>
  <c r="L373"/>
  <c r="I374"/>
  <c r="I402" s="1"/>
  <c r="L371"/>
  <c r="I422"/>
  <c r="H10" i="8"/>
  <c r="J10" i="17" l="1"/>
  <c r="J42" s="1"/>
  <c r="I416" i="23"/>
  <c r="L465"/>
  <c r="L466" s="1"/>
  <c r="L464"/>
  <c r="I515"/>
  <c r="L515" s="1"/>
  <c r="L409"/>
  <c r="L415" s="1"/>
  <c r="I460"/>
  <c r="I458"/>
  <c r="L457"/>
  <c r="I453"/>
  <c r="L431"/>
  <c r="L429"/>
  <c r="I480"/>
  <c r="I425"/>
  <c r="L374"/>
  <c r="L402" s="1"/>
  <c r="I423"/>
  <c r="L422"/>
  <c r="I59" i="32"/>
  <c r="K59"/>
  <c r="J59"/>
  <c r="H59"/>
  <c r="D19" i="29"/>
  <c r="E74" i="9"/>
  <c r="D74"/>
  <c r="M516" i="23" l="1"/>
  <c r="M519" s="1"/>
  <c r="M520" s="1"/>
  <c r="N515"/>
  <c r="N516" s="1"/>
  <c r="N519" s="1"/>
  <c r="N520" s="1"/>
  <c r="L416"/>
  <c r="J25" i="5" s="1"/>
  <c r="P25" s="1"/>
  <c r="I517" i="23"/>
  <c r="I518" s="1"/>
  <c r="I516"/>
  <c r="I461"/>
  <c r="I467" s="1"/>
  <c r="L460"/>
  <c r="I509"/>
  <c r="L458"/>
  <c r="L453"/>
  <c r="I483"/>
  <c r="L480"/>
  <c r="I481"/>
  <c r="I426"/>
  <c r="I454" s="1"/>
  <c r="L425"/>
  <c r="L423"/>
  <c r="I474"/>
  <c r="AA24" i="5"/>
  <c r="C24"/>
  <c r="J9" i="18"/>
  <c r="E9" i="21"/>
  <c r="E16" i="5" s="1"/>
  <c r="AB16" s="1"/>
  <c r="D13" i="13"/>
  <c r="D14" s="1"/>
  <c r="D11" i="18"/>
  <c r="C11"/>
  <c r="C12" i="1"/>
  <c r="D10" i="8"/>
  <c r="D12" s="1"/>
  <c r="G92" i="7"/>
  <c r="B20" i="32"/>
  <c r="C20" s="1"/>
  <c r="C8" i="13"/>
  <c r="D8"/>
  <c r="E8"/>
  <c r="E14"/>
  <c r="E20"/>
  <c r="E26"/>
  <c r="E32"/>
  <c r="F7"/>
  <c r="I9" i="15"/>
  <c r="F48" i="32"/>
  <c r="F49"/>
  <c r="D32" i="13"/>
  <c r="D26"/>
  <c r="D20"/>
  <c r="C19" i="32"/>
  <c r="G76" i="7"/>
  <c r="G85"/>
  <c r="U16" i="1"/>
  <c r="G108" i="7"/>
  <c r="F8" i="11"/>
  <c r="G140" i="7"/>
  <c r="G149"/>
  <c r="W16" i="1"/>
  <c r="C14" i="10"/>
  <c r="C8" i="11" s="1"/>
  <c r="C16" i="1"/>
  <c r="H9" i="15"/>
  <c r="G9" i="1" s="1"/>
  <c r="I11" i="3"/>
  <c r="J11"/>
  <c r="K11"/>
  <c r="L11"/>
  <c r="M11"/>
  <c r="C13" i="17"/>
  <c r="C14"/>
  <c r="G15" i="9"/>
  <c r="G28" i="5" s="1"/>
  <c r="AD28" s="1"/>
  <c r="C15" i="9"/>
  <c r="L26" i="23"/>
  <c r="G9" i="15"/>
  <c r="F9" i="1" s="1"/>
  <c r="F192" i="7"/>
  <c r="H192"/>
  <c r="J192"/>
  <c r="J160"/>
  <c r="H160"/>
  <c r="F160"/>
  <c r="D160"/>
  <c r="C160"/>
  <c r="J128"/>
  <c r="F128"/>
  <c r="D128"/>
  <c r="C128"/>
  <c r="J96"/>
  <c r="H96"/>
  <c r="F96"/>
  <c r="E96"/>
  <c r="D6" i="1" s="1"/>
  <c r="D96" i="7"/>
  <c r="C96"/>
  <c r="J64"/>
  <c r="H64"/>
  <c r="F64"/>
  <c r="E64"/>
  <c r="C6" i="1" s="1"/>
  <c r="D64" i="7"/>
  <c r="C64"/>
  <c r="C32"/>
  <c r="D32"/>
  <c r="H32"/>
  <c r="J32"/>
  <c r="B32"/>
  <c r="E160" i="6"/>
  <c r="E64"/>
  <c r="D64"/>
  <c r="D96"/>
  <c r="D32"/>
  <c r="C32"/>
  <c r="C717" i="23"/>
  <c r="C224" i="7"/>
  <c r="C256"/>
  <c r="C288"/>
  <c r="C320"/>
  <c r="C352"/>
  <c r="K37" i="23"/>
  <c r="L36"/>
  <c r="L15"/>
  <c r="L16"/>
  <c r="L17"/>
  <c r="L18"/>
  <c r="L19"/>
  <c r="L20"/>
  <c r="L21"/>
  <c r="L23"/>
  <c r="L24"/>
  <c r="L27"/>
  <c r="L28"/>
  <c r="L29"/>
  <c r="L30"/>
  <c r="L32"/>
  <c r="L33"/>
  <c r="L34"/>
  <c r="L35"/>
  <c r="P37"/>
  <c r="O37"/>
  <c r="N15"/>
  <c r="N16"/>
  <c r="N17"/>
  <c r="N18"/>
  <c r="N19"/>
  <c r="N20"/>
  <c r="N21"/>
  <c r="N22"/>
  <c r="N23"/>
  <c r="N24"/>
  <c r="N25"/>
  <c r="N27"/>
  <c r="N28"/>
  <c r="N29"/>
  <c r="N30"/>
  <c r="N32"/>
  <c r="N33"/>
  <c r="N34"/>
  <c r="N35"/>
  <c r="N36"/>
  <c r="L22"/>
  <c r="J37"/>
  <c r="J38" s="1"/>
  <c r="D46" i="29"/>
  <c r="D37"/>
  <c r="D28"/>
  <c r="D47"/>
  <c r="D38"/>
  <c r="D29"/>
  <c r="D20"/>
  <c r="L6" i="23"/>
  <c r="L7" s="1"/>
  <c r="L9"/>
  <c r="L10" s="1"/>
  <c r="L12"/>
  <c r="L41"/>
  <c r="L44"/>
  <c r="L47"/>
  <c r="L48" s="1"/>
  <c r="D13" i="5"/>
  <c r="AA13" s="1"/>
  <c r="D14"/>
  <c r="AA14" s="1"/>
  <c r="D15"/>
  <c r="AA15" s="1"/>
  <c r="D17"/>
  <c r="AA17" s="1"/>
  <c r="C17"/>
  <c r="E33"/>
  <c r="AB33" s="1"/>
  <c r="D33"/>
  <c r="AA33" s="1"/>
  <c r="C13"/>
  <c r="C14"/>
  <c r="C15"/>
  <c r="C16"/>
  <c r="L49" i="23"/>
  <c r="L50" s="1"/>
  <c r="C33" i="5"/>
  <c r="J42" i="23"/>
  <c r="J51" s="1"/>
  <c r="K42"/>
  <c r="K51" s="1"/>
  <c r="M42"/>
  <c r="M51" s="1"/>
  <c r="E160" i="7"/>
  <c r="F6" i="1" s="1"/>
  <c r="G156" i="7"/>
  <c r="X80" i="26"/>
  <c r="X100"/>
  <c r="X60"/>
  <c r="X20"/>
  <c r="C28" i="5"/>
  <c r="G8" i="4"/>
  <c r="G6"/>
  <c r="G7"/>
  <c r="H11" i="3"/>
  <c r="D9" i="15"/>
  <c r="C9" i="1" s="1"/>
  <c r="I42" i="23"/>
  <c r="I51" s="1"/>
  <c r="N49"/>
  <c r="N50" s="1"/>
  <c r="C9" i="15"/>
  <c r="H128" i="7"/>
  <c r="F12" i="1"/>
  <c r="D30" i="17"/>
  <c r="E30"/>
  <c r="C30"/>
  <c r="E9" i="15"/>
  <c r="D9" i="1" s="1"/>
  <c r="F9" i="15"/>
  <c r="E9" i="1" s="1"/>
  <c r="J9" i="15"/>
  <c r="K9"/>
  <c r="L9"/>
  <c r="M9"/>
  <c r="P42" i="23"/>
  <c r="P51" s="1"/>
  <c r="O42"/>
  <c r="O51" s="1"/>
  <c r="N41"/>
  <c r="M6" i="4"/>
  <c r="M7"/>
  <c r="M8"/>
  <c r="G136" i="7"/>
  <c r="G139"/>
  <c r="G154"/>
  <c r="G155"/>
  <c r="L6" i="4"/>
  <c r="L7"/>
  <c r="L8"/>
  <c r="K6"/>
  <c r="K7"/>
  <c r="K8"/>
  <c r="J6"/>
  <c r="J7"/>
  <c r="J8"/>
  <c r="I6"/>
  <c r="I7"/>
  <c r="I8"/>
  <c r="F6"/>
  <c r="F7"/>
  <c r="E6"/>
  <c r="E7"/>
  <c r="D6"/>
  <c r="D7"/>
  <c r="F8"/>
  <c r="E8"/>
  <c r="D8"/>
  <c r="J352" i="7"/>
  <c r="G40"/>
  <c r="I40" s="1"/>
  <c r="G72"/>
  <c r="G104"/>
  <c r="G43"/>
  <c r="I43" s="1"/>
  <c r="B75" s="1"/>
  <c r="I75" s="1"/>
  <c r="G75"/>
  <c r="G107"/>
  <c r="G44"/>
  <c r="G53"/>
  <c r="I53" s="1"/>
  <c r="G26"/>
  <c r="I26" s="1"/>
  <c r="G58"/>
  <c r="I58" s="1"/>
  <c r="B90" s="1"/>
  <c r="G90"/>
  <c r="G122"/>
  <c r="G59"/>
  <c r="I59" s="1"/>
  <c r="G91"/>
  <c r="G123"/>
  <c r="H352"/>
  <c r="F352"/>
  <c r="J320"/>
  <c r="H320"/>
  <c r="F320"/>
  <c r="J288"/>
  <c r="H288"/>
  <c r="F288"/>
  <c r="J256"/>
  <c r="H256"/>
  <c r="F256"/>
  <c r="J224"/>
  <c r="H224"/>
  <c r="F224"/>
  <c r="G135"/>
  <c r="G137"/>
  <c r="G138"/>
  <c r="G157"/>
  <c r="G158"/>
  <c r="G159"/>
  <c r="G153"/>
  <c r="G152"/>
  <c r="G151"/>
  <c r="G150"/>
  <c r="G148"/>
  <c r="G147"/>
  <c r="G146"/>
  <c r="G145"/>
  <c r="G143"/>
  <c r="G142"/>
  <c r="G141"/>
  <c r="G103"/>
  <c r="G105"/>
  <c r="G106"/>
  <c r="G125"/>
  <c r="G126"/>
  <c r="G127"/>
  <c r="G121"/>
  <c r="G120"/>
  <c r="G119"/>
  <c r="G118"/>
  <c r="G116"/>
  <c r="G115"/>
  <c r="G114"/>
  <c r="G113"/>
  <c r="G111"/>
  <c r="G110"/>
  <c r="G109"/>
  <c r="G71"/>
  <c r="G73"/>
  <c r="G74"/>
  <c r="G93"/>
  <c r="G94"/>
  <c r="G95"/>
  <c r="G89"/>
  <c r="G88"/>
  <c r="G87"/>
  <c r="G86"/>
  <c r="G84"/>
  <c r="G83"/>
  <c r="G82"/>
  <c r="G81"/>
  <c r="G79"/>
  <c r="G78"/>
  <c r="G77"/>
  <c r="G61"/>
  <c r="G62"/>
  <c r="G63"/>
  <c r="G57"/>
  <c r="G56"/>
  <c r="G55"/>
  <c r="G54"/>
  <c r="G52"/>
  <c r="G51"/>
  <c r="G50"/>
  <c r="G49"/>
  <c r="G47"/>
  <c r="G46"/>
  <c r="G45"/>
  <c r="G39"/>
  <c r="G41"/>
  <c r="G42"/>
  <c r="E128" i="6"/>
  <c r="F7"/>
  <c r="F8"/>
  <c r="F40"/>
  <c r="F9"/>
  <c r="C41" s="1"/>
  <c r="F10"/>
  <c r="C42"/>
  <c r="F42" s="1"/>
  <c r="F11"/>
  <c r="F43"/>
  <c r="E332"/>
  <c r="F17"/>
  <c r="C49" s="1"/>
  <c r="F49" s="1"/>
  <c r="F18"/>
  <c r="C50"/>
  <c r="F50" s="1"/>
  <c r="F19"/>
  <c r="C51" s="1"/>
  <c r="F51" s="1"/>
  <c r="F20"/>
  <c r="C52" s="1"/>
  <c r="F52" s="1"/>
  <c r="E341"/>
  <c r="F26"/>
  <c r="F58"/>
  <c r="F27"/>
  <c r="F59"/>
  <c r="F28"/>
  <c r="F60"/>
  <c r="F29"/>
  <c r="C61" s="1"/>
  <c r="F61" s="1"/>
  <c r="F30"/>
  <c r="C62" s="1"/>
  <c r="F62" s="1"/>
  <c r="F31"/>
  <c r="C63" s="1"/>
  <c r="F63" s="1"/>
  <c r="E352"/>
  <c r="F25"/>
  <c r="C57" s="1"/>
  <c r="F57" s="1"/>
  <c r="F24"/>
  <c r="C56" s="1"/>
  <c r="F56" s="1"/>
  <c r="F23"/>
  <c r="C55" s="1"/>
  <c r="F55" s="1"/>
  <c r="F22"/>
  <c r="C54" s="1"/>
  <c r="F54" s="1"/>
  <c r="F16"/>
  <c r="C48" s="1"/>
  <c r="F48" s="1"/>
  <c r="F15"/>
  <c r="C47" s="1"/>
  <c r="F47" s="1"/>
  <c r="F14"/>
  <c r="C46" s="1"/>
  <c r="F46" s="1"/>
  <c r="F13"/>
  <c r="C45" s="1"/>
  <c r="F45" s="1"/>
  <c r="E300"/>
  <c r="E309"/>
  <c r="E268"/>
  <c r="E277"/>
  <c r="E236"/>
  <c r="E245"/>
  <c r="E204"/>
  <c r="E213"/>
  <c r="E181"/>
  <c r="E192" s="1"/>
  <c r="G7" i="2" s="1"/>
  <c r="E85" i="6"/>
  <c r="E96" s="1"/>
  <c r="D12" i="1"/>
  <c r="AE220" i="26"/>
  <c r="AD220"/>
  <c r="AC220"/>
  <c r="AB220"/>
  <c r="AA220"/>
  <c r="Z220"/>
  <c r="Y220"/>
  <c r="X220"/>
  <c r="W220"/>
  <c r="V220"/>
  <c r="U220"/>
  <c r="T220"/>
  <c r="S220"/>
  <c r="R220"/>
  <c r="Q220"/>
  <c r="P220"/>
  <c r="O220"/>
  <c r="N220"/>
  <c r="M220"/>
  <c r="L220"/>
  <c r="K220"/>
  <c r="J220"/>
  <c r="I220"/>
  <c r="H220"/>
  <c r="G220"/>
  <c r="F220"/>
  <c r="AE200"/>
  <c r="AD200"/>
  <c r="AC200"/>
  <c r="AB200"/>
  <c r="AA200"/>
  <c r="Z200"/>
  <c r="Y200"/>
  <c r="X200"/>
  <c r="W200"/>
  <c r="V200"/>
  <c r="U200"/>
  <c r="T200"/>
  <c r="S200"/>
  <c r="R200"/>
  <c r="Q200"/>
  <c r="P200"/>
  <c r="O200"/>
  <c r="N200"/>
  <c r="M200"/>
  <c r="L200"/>
  <c r="K200"/>
  <c r="J200"/>
  <c r="I200"/>
  <c r="H200"/>
  <c r="G200"/>
  <c r="F200"/>
  <c r="AE180"/>
  <c r="AD180"/>
  <c r="AC180"/>
  <c r="AB180"/>
  <c r="AA180"/>
  <c r="Z180"/>
  <c r="Y180"/>
  <c r="X180"/>
  <c r="W180"/>
  <c r="V180"/>
  <c r="U180"/>
  <c r="T180"/>
  <c r="S180"/>
  <c r="R180"/>
  <c r="Q180"/>
  <c r="P180"/>
  <c r="O180"/>
  <c r="N180"/>
  <c r="M180"/>
  <c r="L180"/>
  <c r="K180"/>
  <c r="J180"/>
  <c r="I180"/>
  <c r="H180"/>
  <c r="G180"/>
  <c r="F180"/>
  <c r="AE160"/>
  <c r="AD160"/>
  <c r="AC160"/>
  <c r="AB160"/>
  <c r="AA160"/>
  <c r="Z160"/>
  <c r="Y160"/>
  <c r="X160"/>
  <c r="W160"/>
  <c r="V160"/>
  <c r="U160"/>
  <c r="T160"/>
  <c r="S160"/>
  <c r="R160"/>
  <c r="Q160"/>
  <c r="P160"/>
  <c r="O160"/>
  <c r="N160"/>
  <c r="M160"/>
  <c r="L160"/>
  <c r="K160"/>
  <c r="J160"/>
  <c r="I160"/>
  <c r="H160"/>
  <c r="G160"/>
  <c r="F160"/>
  <c r="AE140"/>
  <c r="AD140"/>
  <c r="AC140"/>
  <c r="AB140"/>
  <c r="AA140"/>
  <c r="Z140"/>
  <c r="Y140"/>
  <c r="X140"/>
  <c r="W140"/>
  <c r="V140"/>
  <c r="U140"/>
  <c r="T140"/>
  <c r="S140"/>
  <c r="R140"/>
  <c r="Q140"/>
  <c r="P140"/>
  <c r="O140"/>
  <c r="N140"/>
  <c r="M140"/>
  <c r="L140"/>
  <c r="K140"/>
  <c r="J140"/>
  <c r="I140"/>
  <c r="H140"/>
  <c r="G140"/>
  <c r="F140"/>
  <c r="AE120"/>
  <c r="AD120"/>
  <c r="AC120"/>
  <c r="AB120"/>
  <c r="AA120"/>
  <c r="Z120"/>
  <c r="Y120"/>
  <c r="X120"/>
  <c r="W120"/>
  <c r="V120"/>
  <c r="U120"/>
  <c r="T120"/>
  <c r="S120"/>
  <c r="R120"/>
  <c r="Q120"/>
  <c r="P120"/>
  <c r="O120"/>
  <c r="N120"/>
  <c r="M120"/>
  <c r="L120"/>
  <c r="K120"/>
  <c r="J120"/>
  <c r="I120"/>
  <c r="H120"/>
  <c r="G120"/>
  <c r="F120"/>
  <c r="AE100"/>
  <c r="AD100"/>
  <c r="AC100"/>
  <c r="AB100"/>
  <c r="AA100"/>
  <c r="W100"/>
  <c r="V100"/>
  <c r="U100"/>
  <c r="T100"/>
  <c r="S100"/>
  <c r="R100"/>
  <c r="Q100"/>
  <c r="P100"/>
  <c r="O100"/>
  <c r="N100"/>
  <c r="M100"/>
  <c r="L100"/>
  <c r="K100"/>
  <c r="J100"/>
  <c r="I100"/>
  <c r="H100"/>
  <c r="G100"/>
  <c r="F100"/>
  <c r="AE80"/>
  <c r="AD80"/>
  <c r="AC80"/>
  <c r="AB80"/>
  <c r="AA80"/>
  <c r="W80"/>
  <c r="V80"/>
  <c r="U80"/>
  <c r="T80"/>
  <c r="S80"/>
  <c r="R80"/>
  <c r="Q80"/>
  <c r="P80"/>
  <c r="O80"/>
  <c r="N80"/>
  <c r="M80"/>
  <c r="L80"/>
  <c r="K80"/>
  <c r="J80"/>
  <c r="I80"/>
  <c r="H80"/>
  <c r="G80"/>
  <c r="F80"/>
  <c r="AE60"/>
  <c r="AD60"/>
  <c r="AC60"/>
  <c r="AB60"/>
  <c r="AA60"/>
  <c r="W60"/>
  <c r="V60"/>
  <c r="U60"/>
  <c r="T60"/>
  <c r="S60"/>
  <c r="R60"/>
  <c r="Q60"/>
  <c r="P60"/>
  <c r="O60"/>
  <c r="N60"/>
  <c r="M60"/>
  <c r="L60"/>
  <c r="K60"/>
  <c r="J60"/>
  <c r="I60"/>
  <c r="H60"/>
  <c r="G60"/>
  <c r="F60"/>
  <c r="AE40"/>
  <c r="AD40"/>
  <c r="AC40"/>
  <c r="AB40"/>
  <c r="AA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AE20"/>
  <c r="AD20"/>
  <c r="AC20"/>
  <c r="AB20"/>
  <c r="AA20"/>
  <c r="W20"/>
  <c r="V20"/>
  <c r="U20"/>
  <c r="T20"/>
  <c r="S20"/>
  <c r="R20"/>
  <c r="Q20"/>
  <c r="P20"/>
  <c r="O20"/>
  <c r="N20"/>
  <c r="M20"/>
  <c r="L20"/>
  <c r="K20"/>
  <c r="J20"/>
  <c r="I20"/>
  <c r="H20"/>
  <c r="G20"/>
  <c r="F20"/>
  <c r="G7" i="7"/>
  <c r="I7" s="1"/>
  <c r="G11"/>
  <c r="I11" s="1"/>
  <c r="G27"/>
  <c r="I27" s="1"/>
  <c r="B91"/>
  <c r="G9"/>
  <c r="I9" s="1"/>
  <c r="B41" s="1"/>
  <c r="G10"/>
  <c r="I10" s="1"/>
  <c r="B42" s="1"/>
  <c r="G13"/>
  <c r="I13" s="1"/>
  <c r="B45" s="1"/>
  <c r="G14"/>
  <c r="I14" s="1"/>
  <c r="B46" s="1"/>
  <c r="G15"/>
  <c r="I15" s="1"/>
  <c r="B47" s="1"/>
  <c r="G17"/>
  <c r="I17" s="1"/>
  <c r="B49" s="1"/>
  <c r="G18"/>
  <c r="I18" s="1"/>
  <c r="B50" s="1"/>
  <c r="G19"/>
  <c r="I19" s="1"/>
  <c r="B51" s="1"/>
  <c r="G20"/>
  <c r="I20" s="1"/>
  <c r="B52" s="1"/>
  <c r="G22"/>
  <c r="I22" s="1"/>
  <c r="B54" s="1"/>
  <c r="G23"/>
  <c r="I23" s="1"/>
  <c r="B55" s="1"/>
  <c r="G24"/>
  <c r="I24" s="1"/>
  <c r="B56" s="1"/>
  <c r="G25"/>
  <c r="I25" s="1"/>
  <c r="B57" s="1"/>
  <c r="G29"/>
  <c r="I29" s="1"/>
  <c r="B61" s="1"/>
  <c r="G30"/>
  <c r="I30" s="1"/>
  <c r="B62" s="1"/>
  <c r="G31"/>
  <c r="I31" s="1"/>
  <c r="B63" s="1"/>
  <c r="G8"/>
  <c r="I8" s="1"/>
  <c r="B72"/>
  <c r="I72" s="1"/>
  <c r="N44" i="23"/>
  <c r="N45" s="1"/>
  <c r="N47"/>
  <c r="N48" s="1"/>
  <c r="N6"/>
  <c r="N7" s="1"/>
  <c r="N9"/>
  <c r="N10" s="1"/>
  <c r="N12"/>
  <c r="N13" s="1"/>
  <c r="O38"/>
  <c r="P38"/>
  <c r="F15" i="9"/>
  <c r="F28" i="5" s="1"/>
  <c r="E15" i="9"/>
  <c r="E28" i="5" s="1"/>
  <c r="AB28" s="1"/>
  <c r="E8" i="11"/>
  <c r="D8"/>
  <c r="B163" i="24"/>
  <c r="B152"/>
  <c r="B140"/>
  <c r="B128"/>
  <c r="B116"/>
  <c r="B91"/>
  <c r="B76"/>
  <c r="B61"/>
  <c r="B46"/>
  <c r="B31"/>
  <c r="P7" i="22"/>
  <c r="M22" s="1"/>
  <c r="P8"/>
  <c r="M23" s="1"/>
  <c r="P23" s="1"/>
  <c r="M38" s="1"/>
  <c r="P38" s="1"/>
  <c r="M53" s="1"/>
  <c r="P53" s="1"/>
  <c r="M68" s="1"/>
  <c r="P68" s="1"/>
  <c r="M83" s="1"/>
  <c r="P83" s="1"/>
  <c r="M98" s="1"/>
  <c r="P98" s="1"/>
  <c r="M113" s="1"/>
  <c r="P113" s="1"/>
  <c r="M128" s="1"/>
  <c r="P128" s="1"/>
  <c r="M143" s="1"/>
  <c r="P143" s="1"/>
  <c r="M158" s="1"/>
  <c r="P158" s="1"/>
  <c r="P9"/>
  <c r="M24" s="1"/>
  <c r="P24" s="1"/>
  <c r="M39" s="1"/>
  <c r="P39" s="1"/>
  <c r="M54" s="1"/>
  <c r="P54" s="1"/>
  <c r="M69" s="1"/>
  <c r="P69" s="1"/>
  <c r="M84" s="1"/>
  <c r="P84" s="1"/>
  <c r="M99" s="1"/>
  <c r="P99" s="1"/>
  <c r="M114" s="1"/>
  <c r="P114" s="1"/>
  <c r="M129" s="1"/>
  <c r="P129" s="1"/>
  <c r="M144" s="1"/>
  <c r="P144" s="1"/>
  <c r="M159" s="1"/>
  <c r="P159" s="1"/>
  <c r="P12"/>
  <c r="M27" s="1"/>
  <c r="P13"/>
  <c r="M28" s="1"/>
  <c r="P28" s="1"/>
  <c r="M43" s="1"/>
  <c r="P43" s="1"/>
  <c r="M58" s="1"/>
  <c r="P58" s="1"/>
  <c r="M73" s="1"/>
  <c r="P73" s="1"/>
  <c r="M88" s="1"/>
  <c r="P88" s="1"/>
  <c r="M103" s="1"/>
  <c r="P103" s="1"/>
  <c r="M118" s="1"/>
  <c r="P118" s="1"/>
  <c r="M133" s="1"/>
  <c r="P133" s="1"/>
  <c r="M148" s="1"/>
  <c r="P148" s="1"/>
  <c r="M163" s="1"/>
  <c r="P163" s="1"/>
  <c r="P14"/>
  <c r="M29"/>
  <c r="P29" s="1"/>
  <c r="M44" s="1"/>
  <c r="P44" s="1"/>
  <c r="M59" s="1"/>
  <c r="P59" s="1"/>
  <c r="M74" s="1"/>
  <c r="P74" s="1"/>
  <c r="M89" s="1"/>
  <c r="P89" s="1"/>
  <c r="M104" s="1"/>
  <c r="P104" s="1"/>
  <c r="M119" s="1"/>
  <c r="P119" s="1"/>
  <c r="M134" s="1"/>
  <c r="P134" s="1"/>
  <c r="M149" s="1"/>
  <c r="P149" s="1"/>
  <c r="M164" s="1"/>
  <c r="P164" s="1"/>
  <c r="P10"/>
  <c r="R160"/>
  <c r="R165"/>
  <c r="Q160"/>
  <c r="Q165"/>
  <c r="Q166"/>
  <c r="O160"/>
  <c r="O165"/>
  <c r="O166" s="1"/>
  <c r="N160"/>
  <c r="N165"/>
  <c r="N166" s="1"/>
  <c r="L160"/>
  <c r="L165"/>
  <c r="K160"/>
  <c r="K165"/>
  <c r="K166"/>
  <c r="J160"/>
  <c r="J165"/>
  <c r="J166" s="1"/>
  <c r="I160"/>
  <c r="I165"/>
  <c r="I166" s="1"/>
  <c r="H160"/>
  <c r="H165"/>
  <c r="R145"/>
  <c r="R150"/>
  <c r="R151"/>
  <c r="Q145"/>
  <c r="Q150"/>
  <c r="Q151" s="1"/>
  <c r="O145"/>
  <c r="O150"/>
  <c r="O151" s="1"/>
  <c r="N145"/>
  <c r="N150"/>
  <c r="L145"/>
  <c r="L150"/>
  <c r="L151"/>
  <c r="K145"/>
  <c r="K150"/>
  <c r="K151" s="1"/>
  <c r="J145"/>
  <c r="J150"/>
  <c r="J151" s="1"/>
  <c r="I145"/>
  <c r="I150"/>
  <c r="H145"/>
  <c r="H150"/>
  <c r="H151"/>
  <c r="R130"/>
  <c r="R135"/>
  <c r="R136" s="1"/>
  <c r="Q130"/>
  <c r="Q135"/>
  <c r="O130"/>
  <c r="O135"/>
  <c r="O136"/>
  <c r="N130"/>
  <c r="N135"/>
  <c r="N136" s="1"/>
  <c r="L130"/>
  <c r="L135"/>
  <c r="L136" s="1"/>
  <c r="K130"/>
  <c r="K135"/>
  <c r="J130"/>
  <c r="J135"/>
  <c r="J136"/>
  <c r="I130"/>
  <c r="I135"/>
  <c r="I136" s="1"/>
  <c r="H130"/>
  <c r="H135"/>
  <c r="H136" s="1"/>
  <c r="R115"/>
  <c r="R120"/>
  <c r="R121"/>
  <c r="Q115"/>
  <c r="Q120"/>
  <c r="Q121" s="1"/>
  <c r="O115"/>
  <c r="O120"/>
  <c r="O121" s="1"/>
  <c r="N115"/>
  <c r="N120"/>
  <c r="L115"/>
  <c r="L120"/>
  <c r="L121"/>
  <c r="K115"/>
  <c r="K120"/>
  <c r="K121" s="1"/>
  <c r="J115"/>
  <c r="J120"/>
  <c r="J121" s="1"/>
  <c r="I115"/>
  <c r="I120"/>
  <c r="H115"/>
  <c r="H120"/>
  <c r="H121"/>
  <c r="R100"/>
  <c r="R105"/>
  <c r="R106" s="1"/>
  <c r="Q100"/>
  <c r="Q105"/>
  <c r="O100"/>
  <c r="O105"/>
  <c r="O106"/>
  <c r="N100"/>
  <c r="N105"/>
  <c r="N106" s="1"/>
  <c r="L100"/>
  <c r="L105"/>
  <c r="L106" s="1"/>
  <c r="K100"/>
  <c r="K105"/>
  <c r="K106" s="1"/>
  <c r="J100"/>
  <c r="J105"/>
  <c r="J106" s="1"/>
  <c r="I100"/>
  <c r="I105"/>
  <c r="I106" s="1"/>
  <c r="H100"/>
  <c r="H105"/>
  <c r="R85"/>
  <c r="R90"/>
  <c r="R91"/>
  <c r="Q85"/>
  <c r="Q90"/>
  <c r="Q91" s="1"/>
  <c r="O85"/>
  <c r="O90"/>
  <c r="O91" s="1"/>
  <c r="N85"/>
  <c r="N90"/>
  <c r="L85"/>
  <c r="L90"/>
  <c r="L91"/>
  <c r="K85"/>
  <c r="K90"/>
  <c r="K91" s="1"/>
  <c r="J85"/>
  <c r="J90"/>
  <c r="J91"/>
  <c r="I85"/>
  <c r="I90"/>
  <c r="I91" s="1"/>
  <c r="H85"/>
  <c r="H90"/>
  <c r="H91" s="1"/>
  <c r="R70"/>
  <c r="R75"/>
  <c r="R76"/>
  <c r="Q70"/>
  <c r="Q75"/>
  <c r="Q76" s="1"/>
  <c r="O70"/>
  <c r="O75"/>
  <c r="O76" s="1"/>
  <c r="N70"/>
  <c r="N75"/>
  <c r="N76" s="1"/>
  <c r="L70"/>
  <c r="L75"/>
  <c r="L76" s="1"/>
  <c r="K70"/>
  <c r="K75"/>
  <c r="K76" s="1"/>
  <c r="J70"/>
  <c r="J75"/>
  <c r="J76" s="1"/>
  <c r="I70"/>
  <c r="I75"/>
  <c r="I76" s="1"/>
  <c r="H70"/>
  <c r="H75"/>
  <c r="H76" s="1"/>
  <c r="R55"/>
  <c r="R60"/>
  <c r="R61" s="1"/>
  <c r="Q55"/>
  <c r="Q60"/>
  <c r="O55"/>
  <c r="O60"/>
  <c r="N55"/>
  <c r="N60"/>
  <c r="L55"/>
  <c r="L60"/>
  <c r="K55"/>
  <c r="K60"/>
  <c r="J55"/>
  <c r="J60"/>
  <c r="J61" s="1"/>
  <c r="I55"/>
  <c r="I60"/>
  <c r="H55"/>
  <c r="H60"/>
  <c r="H61"/>
  <c r="R40"/>
  <c r="R45"/>
  <c r="R46"/>
  <c r="Q40"/>
  <c r="Q45"/>
  <c r="Q46" s="1"/>
  <c r="O40"/>
  <c r="O45"/>
  <c r="O46" s="1"/>
  <c r="N40"/>
  <c r="N45"/>
  <c r="N46" s="1"/>
  <c r="L40"/>
  <c r="L45"/>
  <c r="K40"/>
  <c r="K45"/>
  <c r="K46"/>
  <c r="J40"/>
  <c r="J45"/>
  <c r="J46" s="1"/>
  <c r="I40"/>
  <c r="I45"/>
  <c r="I46" s="1"/>
  <c r="H40"/>
  <c r="H45"/>
  <c r="R25"/>
  <c r="R30"/>
  <c r="R31" s="1"/>
  <c r="F26" i="5" s="1"/>
  <c r="AC26" s="1"/>
  <c r="Q25" i="22"/>
  <c r="Q30"/>
  <c r="Q31" s="1"/>
  <c r="E26" i="5" s="1"/>
  <c r="AB26" s="1"/>
  <c r="O25" i="22"/>
  <c r="O30"/>
  <c r="O31" s="1"/>
  <c r="N25"/>
  <c r="N30"/>
  <c r="L25"/>
  <c r="L30"/>
  <c r="L31" s="1"/>
  <c r="K25"/>
  <c r="K30"/>
  <c r="J25"/>
  <c r="J30"/>
  <c r="I25"/>
  <c r="I30"/>
  <c r="H25"/>
  <c r="H30"/>
  <c r="H31"/>
  <c r="B16" i="24"/>
  <c r="R10" i="22"/>
  <c r="R15"/>
  <c r="R16"/>
  <c r="Q10"/>
  <c r="Q15"/>
  <c r="Q16" s="1"/>
  <c r="O10"/>
  <c r="O15"/>
  <c r="O16" s="1"/>
  <c r="N10"/>
  <c r="N15"/>
  <c r="M10"/>
  <c r="M15"/>
  <c r="M16" s="1"/>
  <c r="L10"/>
  <c r="L15"/>
  <c r="K10"/>
  <c r="K15"/>
  <c r="J10"/>
  <c r="J15"/>
  <c r="I10"/>
  <c r="I15"/>
  <c r="I16"/>
  <c r="H10"/>
  <c r="H15"/>
  <c r="H16" s="1"/>
  <c r="H11" i="21"/>
  <c r="G11"/>
  <c r="F13" i="17" s="1"/>
  <c r="F11" i="21"/>
  <c r="E13" i="17" s="1"/>
  <c r="E11" i="21"/>
  <c r="D11"/>
  <c r="C11"/>
  <c r="A3" i="28"/>
  <c r="A4"/>
  <c r="A5"/>
  <c r="A6"/>
  <c r="A7"/>
  <c r="A8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G21" i="7"/>
  <c r="I21" s="1"/>
  <c r="G12"/>
  <c r="G332" i="6"/>
  <c r="G341"/>
  <c r="G300"/>
  <c r="G309"/>
  <c r="G268"/>
  <c r="G277"/>
  <c r="G236"/>
  <c r="G245"/>
  <c r="G204"/>
  <c r="G213"/>
  <c r="G172"/>
  <c r="G181"/>
  <c r="G140"/>
  <c r="G149"/>
  <c r="G108"/>
  <c r="G117"/>
  <c r="G76"/>
  <c r="G85"/>
  <c r="G12"/>
  <c r="G21"/>
  <c r="F12"/>
  <c r="F44"/>
  <c r="F21"/>
  <c r="F53"/>
  <c r="P15" i="22"/>
  <c r="P16" s="1"/>
  <c r="C26" i="5" s="1"/>
  <c r="K38" i="23"/>
  <c r="G60" i="7"/>
  <c r="I60" s="1"/>
  <c r="G124"/>
  <c r="L42" i="23"/>
  <c r="F32" i="7"/>
  <c r="G28"/>
  <c r="I28" s="1"/>
  <c r="G288" i="6"/>
  <c r="G352"/>
  <c r="G224"/>
  <c r="G256"/>
  <c r="E224"/>
  <c r="E256"/>
  <c r="F32"/>
  <c r="C6" i="5" s="1"/>
  <c r="E32" i="6"/>
  <c r="G192"/>
  <c r="G320"/>
  <c r="E288"/>
  <c r="E320"/>
  <c r="F39"/>
  <c r="B92" i="7"/>
  <c r="I92" s="1"/>
  <c r="C7" i="3"/>
  <c r="D7"/>
  <c r="E7"/>
  <c r="F7"/>
  <c r="G7"/>
  <c r="C76" i="6"/>
  <c r="F76" s="1"/>
  <c r="I12" i="7"/>
  <c r="C90" i="6"/>
  <c r="F90" s="1"/>
  <c r="C72"/>
  <c r="F72" s="1"/>
  <c r="N26" i="23"/>
  <c r="N37" s="1"/>
  <c r="M37"/>
  <c r="M38" s="1"/>
  <c r="D5" i="1"/>
  <c r="D5" i="27" s="1"/>
  <c r="D7" s="1"/>
  <c r="F5" i="1"/>
  <c r="D13" i="2"/>
  <c r="F13"/>
  <c r="L25" i="23"/>
  <c r="I37"/>
  <c r="I38" s="1"/>
  <c r="C92" i="6"/>
  <c r="F92" s="1"/>
  <c r="E32" i="7"/>
  <c r="L37" i="23"/>
  <c r="E13" i="2"/>
  <c r="C5" i="1"/>
  <c r="C5" i="27" s="1"/>
  <c r="C7" s="1"/>
  <c r="H15" i="9"/>
  <c r="G49" i="32"/>
  <c r="D63" i="29"/>
  <c r="G48" i="32"/>
  <c r="D62" i="29"/>
  <c r="H12" i="5"/>
  <c r="AE12" s="1"/>
  <c r="I11" i="21"/>
  <c r="E20" i="17"/>
  <c r="C122" i="6" l="1"/>
  <c r="C80"/>
  <c r="F80" s="1"/>
  <c r="C89"/>
  <c r="F89" s="1"/>
  <c r="C93"/>
  <c r="F93" s="1"/>
  <c r="C84"/>
  <c r="F84" s="1"/>
  <c r="C81"/>
  <c r="F81" s="1"/>
  <c r="C74"/>
  <c r="F74" s="1"/>
  <c r="C104"/>
  <c r="F104" s="1"/>
  <c r="C79"/>
  <c r="F79" s="1"/>
  <c r="C88"/>
  <c r="F88" s="1"/>
  <c r="C94"/>
  <c r="F94" s="1"/>
  <c r="C91"/>
  <c r="F91" s="1"/>
  <c r="C124"/>
  <c r="C108"/>
  <c r="C78"/>
  <c r="F78" s="1"/>
  <c r="C87"/>
  <c r="F87" s="1"/>
  <c r="C95"/>
  <c r="F95" s="1"/>
  <c r="C82"/>
  <c r="F82" s="1"/>
  <c r="C75"/>
  <c r="F75" s="1"/>
  <c r="C71"/>
  <c r="C77"/>
  <c r="F77" s="1"/>
  <c r="C86"/>
  <c r="F86" s="1"/>
  <c r="C83"/>
  <c r="F83" s="1"/>
  <c r="D7" i="2"/>
  <c r="E13" i="8"/>
  <c r="K61" i="22"/>
  <c r="L61"/>
  <c r="N61"/>
  <c r="O61"/>
  <c r="Q61"/>
  <c r="N91"/>
  <c r="H106"/>
  <c r="Q106"/>
  <c r="I121"/>
  <c r="N121"/>
  <c r="K136"/>
  <c r="Q136"/>
  <c r="I151"/>
  <c r="N151"/>
  <c r="H166"/>
  <c r="L166"/>
  <c r="R166"/>
  <c r="K16"/>
  <c r="L16"/>
  <c r="J31"/>
  <c r="K31"/>
  <c r="L46"/>
  <c r="J16"/>
  <c r="N16"/>
  <c r="I31"/>
  <c r="N31"/>
  <c r="H46"/>
  <c r="I61"/>
  <c r="P27"/>
  <c r="M30"/>
  <c r="M25"/>
  <c r="M31" s="1"/>
  <c r="P22"/>
  <c r="K10" i="17"/>
  <c r="K42" s="1"/>
  <c r="J52" i="23"/>
  <c r="B88" i="7"/>
  <c r="I56"/>
  <c r="B83"/>
  <c r="I51"/>
  <c r="B74"/>
  <c r="I42"/>
  <c r="B94"/>
  <c r="I62"/>
  <c r="B87"/>
  <c r="I55"/>
  <c r="B82"/>
  <c r="I50"/>
  <c r="B122"/>
  <c r="I90"/>
  <c r="B95"/>
  <c r="I63"/>
  <c r="B89"/>
  <c r="I57"/>
  <c r="B84"/>
  <c r="I52"/>
  <c r="B79"/>
  <c r="I47"/>
  <c r="B77"/>
  <c r="I45"/>
  <c r="B93"/>
  <c r="I61"/>
  <c r="B86"/>
  <c r="I54"/>
  <c r="B81"/>
  <c r="I49"/>
  <c r="B78"/>
  <c r="I46"/>
  <c r="B73"/>
  <c r="I41"/>
  <c r="W6" i="1"/>
  <c r="U6"/>
  <c r="G32" i="7"/>
  <c r="K9" i="18"/>
  <c r="C12" i="5"/>
  <c r="H28"/>
  <c r="AE28" s="1"/>
  <c r="H17" i="9"/>
  <c r="D13" i="17"/>
  <c r="F5" i="27"/>
  <c r="F7" s="1"/>
  <c r="U5" i="1"/>
  <c r="V9"/>
  <c r="W9"/>
  <c r="W12"/>
  <c r="X9"/>
  <c r="U12"/>
  <c r="U9"/>
  <c r="T5"/>
  <c r="T9"/>
  <c r="T16"/>
  <c r="T12"/>
  <c r="T6"/>
  <c r="F14" i="2"/>
  <c r="W5" i="1"/>
  <c r="D14" i="2"/>
  <c r="C14"/>
  <c r="I44" i="7"/>
  <c r="B76" s="1"/>
  <c r="I76" s="1"/>
  <c r="B108" s="1"/>
  <c r="I91"/>
  <c r="B123" s="1"/>
  <c r="W28" i="5"/>
  <c r="W34" s="1"/>
  <c r="AB24"/>
  <c r="E11" i="18"/>
  <c r="I468" i="23"/>
  <c r="AE11" i="5"/>
  <c r="AD11"/>
  <c r="I52" i="23"/>
  <c r="P52"/>
  <c r="K52"/>
  <c r="O52"/>
  <c r="M52"/>
  <c r="L517"/>
  <c r="L518" s="1"/>
  <c r="L516"/>
  <c r="I567"/>
  <c r="L567" s="1"/>
  <c r="M567" s="1"/>
  <c r="I512"/>
  <c r="L461"/>
  <c r="L467" s="1"/>
  <c r="I510"/>
  <c r="L509"/>
  <c r="I505"/>
  <c r="L483"/>
  <c r="L481"/>
  <c r="I532"/>
  <c r="I477"/>
  <c r="L426"/>
  <c r="L454" s="1"/>
  <c r="L468" s="1"/>
  <c r="K25" i="5" s="1"/>
  <c r="Q25" s="1"/>
  <c r="I475" i="23"/>
  <c r="L474"/>
  <c r="L45"/>
  <c r="L51" s="1"/>
  <c r="L13"/>
  <c r="L38" s="1"/>
  <c r="F20" i="17"/>
  <c r="N38" i="23"/>
  <c r="N42"/>
  <c r="N51" s="1"/>
  <c r="G64" i="7"/>
  <c r="C10" i="2" s="1"/>
  <c r="D122" i="6"/>
  <c r="F122" s="1"/>
  <c r="F124"/>
  <c r="F108"/>
  <c r="G8" i="11"/>
  <c r="V16" i="1"/>
  <c r="J11" i="21"/>
  <c r="F12" i="5"/>
  <c r="AC12" s="1"/>
  <c r="J11"/>
  <c r="G160" i="7"/>
  <c r="F10" i="2" s="1"/>
  <c r="G32" i="32"/>
  <c r="D20" i="17"/>
  <c r="F11" i="18"/>
  <c r="F30" i="17"/>
  <c r="E12" i="5"/>
  <c r="AB12" s="1"/>
  <c r="C13" i="2"/>
  <c r="F13" i="13"/>
  <c r="C19" s="1"/>
  <c r="D15" i="9"/>
  <c r="C14" i="13"/>
  <c r="C12" i="2" s="1"/>
  <c r="F8" i="13"/>
  <c r="C29" i="5" s="1"/>
  <c r="I32" i="7"/>
  <c r="C7" i="5" s="1"/>
  <c r="C8" s="1"/>
  <c r="B39" i="7"/>
  <c r="C64" i="6"/>
  <c r="C6" i="2" s="1"/>
  <c r="F41" i="6"/>
  <c r="B124" i="7"/>
  <c r="G96"/>
  <c r="D10" i="2" s="1"/>
  <c r="B107" i="7"/>
  <c r="B85"/>
  <c r="C7" i="2"/>
  <c r="D13" i="8"/>
  <c r="C85" i="6"/>
  <c r="F85" s="1"/>
  <c r="F71"/>
  <c r="E12" i="1"/>
  <c r="E5"/>
  <c r="D12" i="5"/>
  <c r="AA12" s="1"/>
  <c r="B22" i="32"/>
  <c r="B26" s="1"/>
  <c r="B21"/>
  <c r="B25" s="1"/>
  <c r="J12" i="5"/>
  <c r="I12"/>
  <c r="G12"/>
  <c r="AD12" s="1"/>
  <c r="C12" i="8"/>
  <c r="C15" s="1"/>
  <c r="C7" i="12"/>
  <c r="C7" i="11" s="1"/>
  <c r="D5" i="4"/>
  <c r="D10" s="1"/>
  <c r="D7" i="12" s="1"/>
  <c r="D7" i="11" s="1"/>
  <c r="E5" i="4"/>
  <c r="E10" s="1"/>
  <c r="E7" i="12" s="1"/>
  <c r="E7" i="11" s="1"/>
  <c r="F5" i="4"/>
  <c r="F10" s="1"/>
  <c r="F7" i="12" s="1"/>
  <c r="F7" i="11" s="1"/>
  <c r="J5" i="4"/>
  <c r="L5"/>
  <c r="I5"/>
  <c r="K5"/>
  <c r="M5"/>
  <c r="G5"/>
  <c r="G9" s="1"/>
  <c r="G10" s="1"/>
  <c r="G7" i="12" s="1"/>
  <c r="G7" i="11" s="1"/>
  <c r="H49" i="32"/>
  <c r="D72" i="29"/>
  <c r="H48" i="32"/>
  <c r="D71" i="29"/>
  <c r="D20" i="32"/>
  <c r="C22"/>
  <c r="C26" s="1"/>
  <c r="D19"/>
  <c r="C21"/>
  <c r="C25" s="1"/>
  <c r="C156" i="6" l="1"/>
  <c r="C118"/>
  <c r="F118" s="1"/>
  <c r="C114"/>
  <c r="F114" s="1"/>
  <c r="C119"/>
  <c r="F119" s="1"/>
  <c r="C126"/>
  <c r="F126" s="1"/>
  <c r="C111"/>
  <c r="F111" s="1"/>
  <c r="C106"/>
  <c r="F106" s="1"/>
  <c r="C116"/>
  <c r="F116" s="1"/>
  <c r="C121"/>
  <c r="F121" s="1"/>
  <c r="C140"/>
  <c r="C154"/>
  <c r="F154" s="1"/>
  <c r="C117"/>
  <c r="C115"/>
  <c r="F115" s="1"/>
  <c r="C109"/>
  <c r="F109" s="1"/>
  <c r="C107"/>
  <c r="F107" s="1"/>
  <c r="C127"/>
  <c r="F127" s="1"/>
  <c r="C110"/>
  <c r="F110" s="1"/>
  <c r="C123"/>
  <c r="F123" s="1"/>
  <c r="C120"/>
  <c r="F120" s="1"/>
  <c r="C136"/>
  <c r="F136" s="1"/>
  <c r="C113"/>
  <c r="F113" s="1"/>
  <c r="C125"/>
  <c r="F125" s="1"/>
  <c r="C112"/>
  <c r="F112" s="1"/>
  <c r="C73"/>
  <c r="F73" s="1"/>
  <c r="F64"/>
  <c r="M42" i="22"/>
  <c r="P30"/>
  <c r="M37"/>
  <c r="P25"/>
  <c r="P31" s="1"/>
  <c r="D26" i="5" s="1"/>
  <c r="AA26" s="1"/>
  <c r="L52" i="23"/>
  <c r="B117" i="7"/>
  <c r="I85"/>
  <c r="B105"/>
  <c r="I73"/>
  <c r="B110"/>
  <c r="I78"/>
  <c r="B113"/>
  <c r="I81"/>
  <c r="B118"/>
  <c r="I86"/>
  <c r="B125"/>
  <c r="I93"/>
  <c r="B109"/>
  <c r="I77"/>
  <c r="B111"/>
  <c r="I79"/>
  <c r="B116"/>
  <c r="I84"/>
  <c r="B121"/>
  <c r="I89"/>
  <c r="B127"/>
  <c r="I95"/>
  <c r="B154"/>
  <c r="I154" s="1"/>
  <c r="B186" s="1"/>
  <c r="I186" s="1"/>
  <c r="I122"/>
  <c r="B114"/>
  <c r="I82"/>
  <c r="B119"/>
  <c r="I87"/>
  <c r="B126"/>
  <c r="I94"/>
  <c r="B106"/>
  <c r="I74"/>
  <c r="B115"/>
  <c r="I83"/>
  <c r="B120"/>
  <c r="I88"/>
  <c r="B64"/>
  <c r="C9" i="2" s="1"/>
  <c r="D9" s="1"/>
  <c r="I39" i="7"/>
  <c r="B139"/>
  <c r="I139" s="1"/>
  <c r="B171" s="1"/>
  <c r="I171" s="1"/>
  <c r="I107"/>
  <c r="L9" i="18"/>
  <c r="K11" i="5"/>
  <c r="P11"/>
  <c r="O12"/>
  <c r="P12"/>
  <c r="E5" i="27"/>
  <c r="E7" s="1"/>
  <c r="V12" i="1"/>
  <c r="E14" i="2"/>
  <c r="V5" i="1"/>
  <c r="I124" i="7"/>
  <c r="B156" s="1"/>
  <c r="I156" s="1"/>
  <c r="B188" s="1"/>
  <c r="I123"/>
  <c r="B155" s="1"/>
  <c r="I155" s="1"/>
  <c r="B187" s="1"/>
  <c r="I108"/>
  <c r="B140" s="1"/>
  <c r="I140" s="1"/>
  <c r="B172" s="1"/>
  <c r="N52" i="23"/>
  <c r="N567"/>
  <c r="N568" s="1"/>
  <c r="N571" s="1"/>
  <c r="N572" s="1"/>
  <c r="M568"/>
  <c r="M571" s="1"/>
  <c r="M572" s="1"/>
  <c r="F24" i="5"/>
  <c r="AC24" s="1"/>
  <c r="AC28"/>
  <c r="D28"/>
  <c r="G30" i="17"/>
  <c r="I569" i="23"/>
  <c r="I570" s="1"/>
  <c r="L568"/>
  <c r="I568"/>
  <c r="L512"/>
  <c r="I513"/>
  <c r="I519" s="1"/>
  <c r="L510"/>
  <c r="I561"/>
  <c r="I535"/>
  <c r="L505"/>
  <c r="I533"/>
  <c r="L532"/>
  <c r="L533" s="1"/>
  <c r="L477"/>
  <c r="I478"/>
  <c r="I506" s="1"/>
  <c r="I520" s="1"/>
  <c r="I526"/>
  <c r="L475"/>
  <c r="C25" i="5"/>
  <c r="C34" s="1"/>
  <c r="C7" i="17"/>
  <c r="F117" i="6"/>
  <c r="F156"/>
  <c r="F140"/>
  <c r="F7" i="17"/>
  <c r="L11" i="21"/>
  <c r="K11"/>
  <c r="C11" i="2"/>
  <c r="E117" i="7"/>
  <c r="H32" i="32"/>
  <c r="I32" s="1"/>
  <c r="J32" s="1"/>
  <c r="K32" s="1"/>
  <c r="G24" i="5"/>
  <c r="AD24" s="1"/>
  <c r="C15" i="2"/>
  <c r="C16" s="1"/>
  <c r="C6" i="17" s="1"/>
  <c r="D12" i="2"/>
  <c r="E12" s="1"/>
  <c r="F14" i="13"/>
  <c r="D29" i="5" s="1"/>
  <c r="AA29" s="1"/>
  <c r="F19" i="13"/>
  <c r="C20"/>
  <c r="D15" i="2"/>
  <c r="D7" i="17"/>
  <c r="B104" i="7"/>
  <c r="I104" s="1"/>
  <c r="D6" i="5"/>
  <c r="AA6" s="1"/>
  <c r="C96" i="6"/>
  <c r="C103"/>
  <c r="D103" s="1"/>
  <c r="D128" s="1"/>
  <c r="F96"/>
  <c r="C9" i="5"/>
  <c r="C20" s="1"/>
  <c r="D15" i="8"/>
  <c r="D6" i="2"/>
  <c r="C5"/>
  <c r="C8"/>
  <c r="I49" i="32"/>
  <c r="D81" i="29"/>
  <c r="I48" i="32"/>
  <c r="D80" i="29"/>
  <c r="E19" i="32"/>
  <c r="D21"/>
  <c r="D25" s="1"/>
  <c r="E20"/>
  <c r="D22"/>
  <c r="D26" s="1"/>
  <c r="J96" i="6" l="1"/>
  <c r="J72"/>
  <c r="J92"/>
  <c r="J90"/>
  <c r="J76"/>
  <c r="C188"/>
  <c r="C144"/>
  <c r="F144" s="1"/>
  <c r="C145"/>
  <c r="F145" s="1"/>
  <c r="C152"/>
  <c r="F152" s="1"/>
  <c r="C142"/>
  <c r="F142" s="1"/>
  <c r="C139"/>
  <c r="F139" s="1"/>
  <c r="C147"/>
  <c r="F147" s="1"/>
  <c r="C186"/>
  <c r="C153"/>
  <c r="F153" s="1"/>
  <c r="C138"/>
  <c r="F138" s="1"/>
  <c r="C158"/>
  <c r="F158" s="1"/>
  <c r="C146"/>
  <c r="F146" s="1"/>
  <c r="J71"/>
  <c r="C172"/>
  <c r="J64"/>
  <c r="J48"/>
  <c r="J61"/>
  <c r="J49"/>
  <c r="J56"/>
  <c r="J59"/>
  <c r="J46"/>
  <c r="J63"/>
  <c r="J43"/>
  <c r="J45"/>
  <c r="J51"/>
  <c r="J58"/>
  <c r="J57"/>
  <c r="J52"/>
  <c r="J42"/>
  <c r="J47"/>
  <c r="J62"/>
  <c r="J40"/>
  <c r="J55"/>
  <c r="J50"/>
  <c r="J39"/>
  <c r="J54"/>
  <c r="J60"/>
  <c r="J44"/>
  <c r="J53"/>
  <c r="J80"/>
  <c r="J81"/>
  <c r="J88"/>
  <c r="J78"/>
  <c r="J75"/>
  <c r="J83"/>
  <c r="J89"/>
  <c r="J74"/>
  <c r="J94"/>
  <c r="J82"/>
  <c r="C105"/>
  <c r="F105" s="1"/>
  <c r="J73"/>
  <c r="C157"/>
  <c r="F157" s="1"/>
  <c r="C168"/>
  <c r="C155"/>
  <c r="F155" s="1"/>
  <c r="C159"/>
  <c r="F159" s="1"/>
  <c r="C141"/>
  <c r="F141" s="1"/>
  <c r="C148"/>
  <c r="F148" s="1"/>
  <c r="C143"/>
  <c r="F143" s="1"/>
  <c r="C151"/>
  <c r="F151" s="1"/>
  <c r="C150"/>
  <c r="F150" s="1"/>
  <c r="C149"/>
  <c r="J41"/>
  <c r="J93"/>
  <c r="J91"/>
  <c r="J95"/>
  <c r="J77"/>
  <c r="J85"/>
  <c r="J84"/>
  <c r="J79"/>
  <c r="J87"/>
  <c r="J86"/>
  <c r="P37" i="22"/>
  <c r="M40"/>
  <c r="P42"/>
  <c r="M45"/>
  <c r="L10" i="17"/>
  <c r="L42" s="1"/>
  <c r="B152" i="7"/>
  <c r="I120"/>
  <c r="B147"/>
  <c r="I115"/>
  <c r="B138"/>
  <c r="I106"/>
  <c r="B158"/>
  <c r="I126"/>
  <c r="B151"/>
  <c r="I119"/>
  <c r="B146"/>
  <c r="I114"/>
  <c r="B159"/>
  <c r="I127"/>
  <c r="B153"/>
  <c r="I153" s="1"/>
  <c r="B185" s="1"/>
  <c r="I185" s="1"/>
  <c r="I121"/>
  <c r="B148"/>
  <c r="I148" s="1"/>
  <c r="B180" s="1"/>
  <c r="I180" s="1"/>
  <c r="I116"/>
  <c r="B143"/>
  <c r="I143" s="1"/>
  <c r="B175" s="1"/>
  <c r="I175" s="1"/>
  <c r="I111"/>
  <c r="B141"/>
  <c r="I141" s="1"/>
  <c r="B173" s="1"/>
  <c r="I173" s="1"/>
  <c r="I109"/>
  <c r="B157"/>
  <c r="I125"/>
  <c r="B150"/>
  <c r="I118"/>
  <c r="B145"/>
  <c r="I113"/>
  <c r="B142"/>
  <c r="I110"/>
  <c r="B137"/>
  <c r="I105"/>
  <c r="B71"/>
  <c r="I64"/>
  <c r="D7" i="5" s="1"/>
  <c r="AA7" s="1"/>
  <c r="I117" i="7"/>
  <c r="M9" i="18"/>
  <c r="L11" i="5"/>
  <c r="Q11"/>
  <c r="D34"/>
  <c r="C19" i="2"/>
  <c r="E21" i="32"/>
  <c r="E25" s="1"/>
  <c r="F19"/>
  <c r="E22"/>
  <c r="E26" s="1"/>
  <c r="F20"/>
  <c r="AA28" i="5"/>
  <c r="I6" i="18"/>
  <c r="L569" i="23"/>
  <c r="L570" s="1"/>
  <c r="I564"/>
  <c r="L513"/>
  <c r="L519" s="1"/>
  <c r="I562"/>
  <c r="L561"/>
  <c r="L562" s="1"/>
  <c r="I557"/>
  <c r="L535"/>
  <c r="L557" s="1"/>
  <c r="I529"/>
  <c r="L478"/>
  <c r="L506" s="1"/>
  <c r="I527"/>
  <c r="L526"/>
  <c r="L527" s="1"/>
  <c r="C20" i="17"/>
  <c r="C44" s="1"/>
  <c r="C11" i="3"/>
  <c r="F13" i="8"/>
  <c r="F149" i="6"/>
  <c r="D160"/>
  <c r="E7" i="2"/>
  <c r="K12" i="5"/>
  <c r="M11" i="21"/>
  <c r="M12" i="5"/>
  <c r="E128" i="7"/>
  <c r="E6" i="1" s="1"/>
  <c r="G117" i="7"/>
  <c r="H24" i="5"/>
  <c r="G11" i="18"/>
  <c r="I30" i="17"/>
  <c r="C26"/>
  <c r="C34" s="1"/>
  <c r="D11" i="2"/>
  <c r="F20" i="13"/>
  <c r="E29" i="5" s="1"/>
  <c r="AB29" s="1"/>
  <c r="C25" i="13"/>
  <c r="D8" i="5"/>
  <c r="AA8" s="1"/>
  <c r="C128" i="6"/>
  <c r="F103"/>
  <c r="E6" i="5"/>
  <c r="AB6" s="1"/>
  <c r="D16" i="2"/>
  <c r="D5"/>
  <c r="E6"/>
  <c r="C6" i="12"/>
  <c r="C8" s="1"/>
  <c r="C6" i="11"/>
  <c r="C9" s="1"/>
  <c r="E9" i="2"/>
  <c r="D8"/>
  <c r="F12"/>
  <c r="E11"/>
  <c r="E7" i="8"/>
  <c r="E15" s="1"/>
  <c r="F7" s="1"/>
  <c r="D9" i="5"/>
  <c r="AA9" s="1"/>
  <c r="J49" i="32"/>
  <c r="D90" i="29"/>
  <c r="J48" i="32"/>
  <c r="D89" i="29"/>
  <c r="C181" i="6" l="1"/>
  <c r="C182"/>
  <c r="C175"/>
  <c r="C173"/>
  <c r="C187"/>
  <c r="C189"/>
  <c r="C190"/>
  <c r="C185"/>
  <c r="C179"/>
  <c r="C174"/>
  <c r="C177"/>
  <c r="C183"/>
  <c r="C180"/>
  <c r="C191"/>
  <c r="C137"/>
  <c r="F137" s="1"/>
  <c r="C178"/>
  <c r="C170"/>
  <c r="C171"/>
  <c r="C184"/>
  <c r="C176"/>
  <c r="J103"/>
  <c r="J6" i="18"/>
  <c r="M57" i="22"/>
  <c r="P45"/>
  <c r="M52"/>
  <c r="P40"/>
  <c r="P46" s="1"/>
  <c r="M46"/>
  <c r="V6" i="1"/>
  <c r="I71" i="7"/>
  <c r="B96"/>
  <c r="B169"/>
  <c r="I169" s="1"/>
  <c r="I137"/>
  <c r="B174"/>
  <c r="I174" s="1"/>
  <c r="I142"/>
  <c r="B177"/>
  <c r="I177" s="1"/>
  <c r="I145"/>
  <c r="B182"/>
  <c r="I182" s="1"/>
  <c r="I150"/>
  <c r="B189"/>
  <c r="I189" s="1"/>
  <c r="I157"/>
  <c r="B191"/>
  <c r="I191" s="1"/>
  <c r="I159"/>
  <c r="B178"/>
  <c r="I178" s="1"/>
  <c r="I146"/>
  <c r="B183"/>
  <c r="I183" s="1"/>
  <c r="I151"/>
  <c r="B190"/>
  <c r="I190" s="1"/>
  <c r="I158"/>
  <c r="B170"/>
  <c r="I170" s="1"/>
  <c r="I138"/>
  <c r="B179"/>
  <c r="I179" s="1"/>
  <c r="I147"/>
  <c r="B184"/>
  <c r="I184" s="1"/>
  <c r="I152"/>
  <c r="M11" i="5"/>
  <c r="S11" s="1"/>
  <c r="R11"/>
  <c r="Q12"/>
  <c r="D19" i="2"/>
  <c r="D8" i="1" s="1"/>
  <c r="D11" s="1"/>
  <c r="D14" s="1"/>
  <c r="C20" i="2"/>
  <c r="C15" i="1" s="1"/>
  <c r="F7" i="2"/>
  <c r="F15" s="1"/>
  <c r="G13" i="8"/>
  <c r="AE24" i="5"/>
  <c r="K6" i="18"/>
  <c r="L520" i="23"/>
  <c r="L25" i="5" s="1"/>
  <c r="R25" s="1"/>
  <c r="I565" i="23"/>
  <c r="I571" s="1"/>
  <c r="L564"/>
  <c r="L565" s="1"/>
  <c r="L571" s="1"/>
  <c r="I530"/>
  <c r="I558" s="1"/>
  <c r="L529"/>
  <c r="L530" s="1"/>
  <c r="L558" s="1"/>
  <c r="C12" i="17"/>
  <c r="C19" s="1"/>
  <c r="E9" i="5"/>
  <c r="AB9" s="1"/>
  <c r="L12"/>
  <c r="G128" i="7"/>
  <c r="E10" i="2" s="1"/>
  <c r="E8" s="1"/>
  <c r="B149" i="7"/>
  <c r="I149" s="1"/>
  <c r="I7" i="18"/>
  <c r="I24" i="5" s="1"/>
  <c r="J30" i="17"/>
  <c r="F25" i="13"/>
  <c r="C26"/>
  <c r="B136" i="7"/>
  <c r="I136" s="1"/>
  <c r="F128" i="6"/>
  <c r="J105" s="1"/>
  <c r="C135"/>
  <c r="D26" i="17"/>
  <c r="D34" s="1"/>
  <c r="F15" i="8"/>
  <c r="G7" s="1"/>
  <c r="F11" i="2"/>
  <c r="G12"/>
  <c r="D20" i="5"/>
  <c r="AA20" s="1"/>
  <c r="F6" i="2"/>
  <c r="E5"/>
  <c r="D99" i="29"/>
  <c r="K49" i="32"/>
  <c r="D98" i="29"/>
  <c r="K48" i="32"/>
  <c r="C169" i="6" l="1"/>
  <c r="J108"/>
  <c r="J104"/>
  <c r="J128" s="1"/>
  <c r="J124"/>
  <c r="J122"/>
  <c r="J113"/>
  <c r="J110"/>
  <c r="J115"/>
  <c r="J121"/>
  <c r="J126"/>
  <c r="J125"/>
  <c r="J123"/>
  <c r="J109"/>
  <c r="J111"/>
  <c r="J118"/>
  <c r="J112"/>
  <c r="J120"/>
  <c r="J107"/>
  <c r="J106"/>
  <c r="J114"/>
  <c r="J127"/>
  <c r="J116"/>
  <c r="J119"/>
  <c r="J117"/>
  <c r="O24" i="5"/>
  <c r="P52" i="22"/>
  <c r="M55"/>
  <c r="M60"/>
  <c r="P57"/>
  <c r="B103" i="7"/>
  <c r="I96"/>
  <c r="E7" i="5" s="1"/>
  <c r="R12"/>
  <c r="S12"/>
  <c r="D6" i="17"/>
  <c r="D12" s="1"/>
  <c r="D19" s="1"/>
  <c r="G15" i="8"/>
  <c r="D20" i="2"/>
  <c r="D15" i="1" s="1"/>
  <c r="T15"/>
  <c r="D21" i="17"/>
  <c r="C11" i="1"/>
  <c r="C14" s="1"/>
  <c r="C17" s="1"/>
  <c r="C21" i="17"/>
  <c r="C23" s="1"/>
  <c r="U8" i="1"/>
  <c r="O11"/>
  <c r="L572" i="23"/>
  <c r="M25" i="5" s="1"/>
  <c r="S25" s="1"/>
  <c r="L6" i="18"/>
  <c r="AA34" i="5"/>
  <c r="I572" i="23"/>
  <c r="D11" i="3"/>
  <c r="E11"/>
  <c r="F9" i="2"/>
  <c r="F8" s="1"/>
  <c r="F9" i="5"/>
  <c r="AC9" s="1"/>
  <c r="B181" i="7"/>
  <c r="I181" s="1"/>
  <c r="E15" i="2"/>
  <c r="E16" s="1"/>
  <c r="J7" i="18"/>
  <c r="J24" i="5" s="1"/>
  <c r="K30" i="17"/>
  <c r="F26" i="13"/>
  <c r="F29" i="5" s="1"/>
  <c r="AC29" s="1"/>
  <c r="C31" i="13"/>
  <c r="A628" i="23"/>
  <c r="B628" s="1"/>
  <c r="F135" i="6"/>
  <c r="C160"/>
  <c r="F6" i="5"/>
  <c r="AC6" s="1"/>
  <c r="G6" i="2"/>
  <c r="F5"/>
  <c r="P24" i="5" l="1"/>
  <c r="P55" i="22"/>
  <c r="M67"/>
  <c r="M72"/>
  <c r="P60"/>
  <c r="M61"/>
  <c r="I103" i="7"/>
  <c r="B128"/>
  <c r="AB7" i="5"/>
  <c r="E8"/>
  <c r="E19" i="2"/>
  <c r="E20" s="1"/>
  <c r="D23" i="17"/>
  <c r="D17" i="1"/>
  <c r="U15"/>
  <c r="E8"/>
  <c r="E6" i="17" s="1"/>
  <c r="O14" i="1"/>
  <c r="U11"/>
  <c r="T8"/>
  <c r="N11"/>
  <c r="D6" i="11"/>
  <c r="D9" s="1"/>
  <c r="D6" i="12"/>
  <c r="D8" s="1"/>
  <c r="M6" i="18"/>
  <c r="F16" i="2"/>
  <c r="G9"/>
  <c r="H7" i="8"/>
  <c r="E7" i="17"/>
  <c r="K7" i="18"/>
  <c r="K24" i="5" s="1"/>
  <c r="L30" i="17"/>
  <c r="C32" i="13"/>
  <c r="F31"/>
  <c r="A619" i="23"/>
  <c r="B619" s="1"/>
  <c r="A684"/>
  <c r="B684" s="1"/>
  <c r="B168" i="7"/>
  <c r="I168" s="1"/>
  <c r="C167" i="6"/>
  <c r="F160"/>
  <c r="J135" s="1"/>
  <c r="E26" i="17"/>
  <c r="E34" s="1"/>
  <c r="G5" i="2"/>
  <c r="J140" i="6" l="1"/>
  <c r="J156"/>
  <c r="J154"/>
  <c r="J136"/>
  <c r="J160" s="1"/>
  <c r="J150"/>
  <c r="J141"/>
  <c r="J157"/>
  <c r="J153"/>
  <c r="J142"/>
  <c r="J151"/>
  <c r="J159"/>
  <c r="J146"/>
  <c r="J139"/>
  <c r="J144"/>
  <c r="J149"/>
  <c r="J143"/>
  <c r="J155"/>
  <c r="J158"/>
  <c r="J147"/>
  <c r="J145"/>
  <c r="J148"/>
  <c r="J138"/>
  <c r="J152"/>
  <c r="J137"/>
  <c r="Q24" i="5"/>
  <c r="P61" i="22"/>
  <c r="P72"/>
  <c r="M75"/>
  <c r="P67"/>
  <c r="M70"/>
  <c r="M76" s="1"/>
  <c r="B135" i="7"/>
  <c r="I128"/>
  <c r="AB8" i="5"/>
  <c r="E20"/>
  <c r="AB20" s="1"/>
  <c r="F19" i="2"/>
  <c r="F8" i="1" s="1"/>
  <c r="F6" i="17" s="1"/>
  <c r="F12" s="1"/>
  <c r="F19" s="1"/>
  <c r="E12"/>
  <c r="E19" s="1"/>
  <c r="E6" i="12"/>
  <c r="E8" s="1"/>
  <c r="E6" i="11"/>
  <c r="E9" s="1"/>
  <c r="E21" i="17"/>
  <c r="E11" i="1"/>
  <c r="E14" s="1"/>
  <c r="E15"/>
  <c r="V8"/>
  <c r="P11"/>
  <c r="P14" s="1"/>
  <c r="P17" s="1"/>
  <c r="O17"/>
  <c r="U14"/>
  <c r="N14"/>
  <c r="T11"/>
  <c r="E34" i="5"/>
  <c r="G9"/>
  <c r="AD9" s="1"/>
  <c r="L7" i="18"/>
  <c r="L24" i="5" s="1"/>
  <c r="F32" i="13"/>
  <c r="G29" i="5" s="1"/>
  <c r="AD29" s="1"/>
  <c r="C39" i="13"/>
  <c r="C192" i="6"/>
  <c r="G6" i="5"/>
  <c r="AD6" s="1"/>
  <c r="R24" l="1"/>
  <c r="M82" i="22"/>
  <c r="P70"/>
  <c r="P75"/>
  <c r="M87"/>
  <c r="E23" i="17"/>
  <c r="I135" i="7"/>
  <c r="B160"/>
  <c r="F7" i="5"/>
  <c r="I130" i="7"/>
  <c r="F20" i="2"/>
  <c r="F15" i="1" s="1"/>
  <c r="V15"/>
  <c r="E17"/>
  <c r="F11"/>
  <c r="F14" s="1"/>
  <c r="V14"/>
  <c r="F21" i="17"/>
  <c r="F23" s="1"/>
  <c r="V11" i="1"/>
  <c r="U17"/>
  <c r="W8"/>
  <c r="Q11"/>
  <c r="N17"/>
  <c r="T14"/>
  <c r="AB34" i="5"/>
  <c r="F11" i="3"/>
  <c r="M7" i="18"/>
  <c r="M24" i="5" s="1"/>
  <c r="C40" i="13"/>
  <c r="F26" i="17"/>
  <c r="F34" s="1"/>
  <c r="S24" i="5" l="1"/>
  <c r="M85" i="22"/>
  <c r="P82"/>
  <c r="M90"/>
  <c r="P87"/>
  <c r="P76"/>
  <c r="AC7" i="5"/>
  <c r="F8"/>
  <c r="B167" i="7"/>
  <c r="I160"/>
  <c r="G7" i="5" s="1"/>
  <c r="W15" i="1"/>
  <c r="F17"/>
  <c r="T17"/>
  <c r="Q14"/>
  <c r="W11"/>
  <c r="V17"/>
  <c r="F6" i="12"/>
  <c r="F8" s="1"/>
  <c r="F6" i="11"/>
  <c r="F9" s="1"/>
  <c r="F34" i="5"/>
  <c r="M91" i="22" l="1"/>
  <c r="M102"/>
  <c r="P90"/>
  <c r="M97"/>
  <c r="P85"/>
  <c r="I167" i="7"/>
  <c r="B192"/>
  <c r="AD7" i="5"/>
  <c r="G8"/>
  <c r="AC8"/>
  <c r="F20"/>
  <c r="AC20" s="1"/>
  <c r="Q17" i="1"/>
  <c r="W14"/>
  <c r="AC34" i="5"/>
  <c r="G11" i="3"/>
  <c r="P91" i="22" l="1"/>
  <c r="M100"/>
  <c r="P97"/>
  <c r="P102"/>
  <c r="M105"/>
  <c r="AD8" i="5"/>
  <c r="G20"/>
  <c r="AD20" s="1"/>
  <c r="W17" i="1"/>
  <c r="G6" i="12"/>
  <c r="G8" s="1"/>
  <c r="G6" i="11"/>
  <c r="G9" s="1"/>
  <c r="G34" i="5"/>
  <c r="M117" i="22" l="1"/>
  <c r="P105"/>
  <c r="M106"/>
  <c r="M112"/>
  <c r="P100"/>
  <c r="P106" s="1"/>
  <c r="AD34" i="5"/>
  <c r="M120" i="22" l="1"/>
  <c r="P117"/>
  <c r="M115"/>
  <c r="M121" s="1"/>
  <c r="P112"/>
  <c r="M127" l="1"/>
  <c r="P115"/>
  <c r="P120"/>
  <c r="M132"/>
  <c r="B656" i="23"/>
  <c r="C656" s="1"/>
  <c r="P127" i="22" l="1"/>
  <c r="M130"/>
  <c r="P132"/>
  <c r="M135"/>
  <c r="P121"/>
  <c r="D656" i="23"/>
  <c r="B721"/>
  <c r="C721" s="1"/>
  <c r="P135" i="22" l="1"/>
  <c r="M147"/>
  <c r="M142"/>
  <c r="P130"/>
  <c r="M136"/>
  <c r="D721" i="23"/>
  <c r="F167" i="6"/>
  <c r="F172"/>
  <c r="C204" s="1"/>
  <c r="P142" i="22" l="1"/>
  <c r="M145"/>
  <c r="P147"/>
  <c r="M150"/>
  <c r="P136"/>
  <c r="F186" i="6"/>
  <c r="C218" s="1"/>
  <c r="F170"/>
  <c r="C202" s="1"/>
  <c r="F179"/>
  <c r="C211" s="1"/>
  <c r="F176"/>
  <c r="C208" s="1"/>
  <c r="F181"/>
  <c r="C213" s="1"/>
  <c r="F190"/>
  <c r="C222" s="1"/>
  <c r="F174"/>
  <c r="C206" s="1"/>
  <c r="F183"/>
  <c r="C215" s="1"/>
  <c r="F180"/>
  <c r="C212" s="1"/>
  <c r="F185"/>
  <c r="C217" s="1"/>
  <c r="F169"/>
  <c r="C201" s="1"/>
  <c r="F178"/>
  <c r="C210" s="1"/>
  <c r="F187"/>
  <c r="C219" s="1"/>
  <c r="F171"/>
  <c r="C203" s="1"/>
  <c r="F184"/>
  <c r="C216" s="1"/>
  <c r="F189"/>
  <c r="C221" s="1"/>
  <c r="F173"/>
  <c r="C205" s="1"/>
  <c r="F182"/>
  <c r="C214" s="1"/>
  <c r="F191"/>
  <c r="C223" s="1"/>
  <c r="F175"/>
  <c r="C207" s="1"/>
  <c r="F188"/>
  <c r="C220" s="1"/>
  <c r="F168"/>
  <c r="C200" s="1"/>
  <c r="F177"/>
  <c r="C209" s="1"/>
  <c r="C199"/>
  <c r="M162" i="22" l="1"/>
  <c r="P150"/>
  <c r="M157"/>
  <c r="P145"/>
  <c r="P151" s="1"/>
  <c r="M151"/>
  <c r="F192" i="6"/>
  <c r="C224"/>
  <c r="P157" i="22" l="1"/>
  <c r="P160" s="1"/>
  <c r="M160"/>
  <c r="M165"/>
  <c r="P162"/>
  <c r="P165" s="1"/>
  <c r="H6" i="5"/>
  <c r="AE6" s="1"/>
  <c r="H6" i="2"/>
  <c r="P166" i="22" l="1"/>
  <c r="M166"/>
  <c r="D40" i="13" l="1"/>
  <c r="G185" i="7"/>
  <c r="B217" s="1"/>
  <c r="G172" l="1"/>
  <c r="G186"/>
  <c r="B218" s="1"/>
  <c r="G189"/>
  <c r="B221" s="1"/>
  <c r="G181"/>
  <c r="B213" s="1"/>
  <c r="G191"/>
  <c r="B223" s="1"/>
  <c r="G173"/>
  <c r="B205" s="1"/>
  <c r="G178"/>
  <c r="B210" s="1"/>
  <c r="G184"/>
  <c r="B216" s="1"/>
  <c r="G167"/>
  <c r="G179"/>
  <c r="B211" s="1"/>
  <c r="G171"/>
  <c r="B203" s="1"/>
  <c r="G177"/>
  <c r="B209" s="1"/>
  <c r="G183"/>
  <c r="B215" s="1"/>
  <c r="G168"/>
  <c r="B200" s="1"/>
  <c r="G187"/>
  <c r="G190"/>
  <c r="B222" s="1"/>
  <c r="G182"/>
  <c r="B214" s="1"/>
  <c r="G174"/>
  <c r="B206" s="1"/>
  <c r="G170"/>
  <c r="B202" s="1"/>
  <c r="G169"/>
  <c r="B201" s="1"/>
  <c r="G180"/>
  <c r="B212" s="1"/>
  <c r="G175"/>
  <c r="B207" s="1"/>
  <c r="G188"/>
  <c r="I188" l="1"/>
  <c r="B220" s="1"/>
  <c r="I187"/>
  <c r="B219" s="1"/>
  <c r="I172"/>
  <c r="B204" s="1"/>
  <c r="G192"/>
  <c r="G8" i="2" l="1"/>
  <c r="B199" i="7"/>
  <c r="B224" s="1"/>
  <c r="I192"/>
  <c r="H9" i="2" l="1"/>
  <c r="H7" i="5"/>
  <c r="H8" l="1"/>
  <c r="AE8" s="1"/>
  <c r="AE7"/>
  <c r="E39" i="13"/>
  <c r="H8" i="11" l="1"/>
  <c r="E40" i="13"/>
  <c r="G13" i="2" s="1"/>
  <c r="F39" i="13"/>
  <c r="X16" i="1" l="1"/>
  <c r="F40" i="13"/>
  <c r="H29" i="5" s="1"/>
  <c r="C45" i="13"/>
  <c r="G11" i="2"/>
  <c r="H12"/>
  <c r="G15"/>
  <c r="AE29" i="5" l="1"/>
  <c r="G44" i="17"/>
  <c r="C46" i="13"/>
  <c r="K8" i="8" l="1"/>
  <c r="J8"/>
  <c r="M8"/>
  <c r="L8"/>
  <c r="I8"/>
  <c r="M10" l="1"/>
  <c r="L10"/>
  <c r="K10"/>
  <c r="J10"/>
  <c r="I10" l="1"/>
  <c r="F18" i="32" l="1"/>
  <c r="F38" l="1"/>
  <c r="F21"/>
  <c r="F25" s="1"/>
  <c r="F22"/>
  <c r="F26" s="1"/>
  <c r="G33" l="1"/>
  <c r="H33" s="1"/>
  <c r="G34"/>
  <c r="H34" s="1"/>
  <c r="I34" s="1"/>
  <c r="J34" s="1"/>
  <c r="K34" s="1"/>
  <c r="D55" i="29"/>
  <c r="D64" s="1"/>
  <c r="D56"/>
  <c r="D65" s="1"/>
  <c r="D74" s="1"/>
  <c r="D83" s="1"/>
  <c r="D92" s="1"/>
  <c r="D101" s="1"/>
  <c r="D73" l="1"/>
  <c r="D61"/>
  <c r="G37" i="32"/>
  <c r="I33"/>
  <c r="H37"/>
  <c r="D82" i="29" l="1"/>
  <c r="D70"/>
  <c r="G38" i="32"/>
  <c r="H38"/>
  <c r="J33"/>
  <c r="I37"/>
  <c r="D91" i="29" l="1"/>
  <c r="D79"/>
  <c r="K33" i="32"/>
  <c r="K37" s="1"/>
  <c r="J37"/>
  <c r="H11" i="18"/>
  <c r="H33" i="5"/>
  <c r="AE33" s="1"/>
  <c r="I38" i="32"/>
  <c r="D100" i="29" l="1"/>
  <c r="D97" s="1"/>
  <c r="D88"/>
  <c r="R11" i="1"/>
  <c r="R14" s="1"/>
  <c r="R17" s="1"/>
  <c r="H34" i="5"/>
  <c r="K38" i="32"/>
  <c r="J38"/>
  <c r="AE34" i="5" l="1"/>
  <c r="H12" i="8" l="1"/>
  <c r="H15" s="1"/>
  <c r="G12" i="1"/>
  <c r="I11" i="8"/>
  <c r="G5" i="27" l="1"/>
  <c r="G7" s="1"/>
  <c r="G14" i="2" s="1"/>
  <c r="G16" s="1"/>
  <c r="X5" i="1"/>
  <c r="X12"/>
  <c r="I12" i="8"/>
  <c r="H5" i="1"/>
  <c r="H12"/>
  <c r="H9" i="5"/>
  <c r="G26" i="17" s="1"/>
  <c r="G34" s="1"/>
  <c r="I7" i="8"/>
  <c r="J11"/>
  <c r="H5" i="27" l="1"/>
  <c r="H7" s="1"/>
  <c r="H14" i="2" s="1"/>
  <c r="G19"/>
  <c r="AE9" i="5"/>
  <c r="H20"/>
  <c r="J12" i="8"/>
  <c r="I5" i="1"/>
  <c r="I12"/>
  <c r="K11" i="8"/>
  <c r="I15" i="9" l="1"/>
  <c r="I5" i="27"/>
  <c r="I7" s="1"/>
  <c r="I14" i="2" s="1"/>
  <c r="G20"/>
  <c r="G15" i="1" s="1"/>
  <c r="AE20" i="5"/>
  <c r="J5" i="1"/>
  <c r="K12" i="8"/>
  <c r="J12" i="1"/>
  <c r="M11" i="8"/>
  <c r="L11"/>
  <c r="H18" i="17" l="1"/>
  <c r="I28" i="5"/>
  <c r="J5" i="27"/>
  <c r="J7" s="1"/>
  <c r="J14" i="2" s="1"/>
  <c r="J15" i="9"/>
  <c r="X8" i="1"/>
  <c r="G21" i="17"/>
  <c r="G11" i="1"/>
  <c r="G6" i="17"/>
  <c r="G12" s="1"/>
  <c r="X15" i="1"/>
  <c r="L12"/>
  <c r="M12" i="8"/>
  <c r="L5" i="1"/>
  <c r="L12" i="8"/>
  <c r="K5" i="1"/>
  <c r="K12"/>
  <c r="G19" i="17" l="1"/>
  <c r="G23" s="1"/>
  <c r="I18"/>
  <c r="O28" i="5"/>
  <c r="J28"/>
  <c r="L5" i="27"/>
  <c r="L7" s="1"/>
  <c r="L14" i="2" s="1"/>
  <c r="K15" i="9"/>
  <c r="J18" i="17" s="1"/>
  <c r="K5" i="27"/>
  <c r="K7" s="1"/>
  <c r="K14" i="2" s="1"/>
  <c r="G14" i="1"/>
  <c r="X11"/>
  <c r="P28" i="5" l="1"/>
  <c r="K28"/>
  <c r="Q28" s="1"/>
  <c r="M15" i="9"/>
  <c r="M28" i="5" s="1"/>
  <c r="L15" i="9"/>
  <c r="K18" i="17" s="1"/>
  <c r="G17" i="1"/>
  <c r="X14"/>
  <c r="I13" i="8"/>
  <c r="I15" s="1"/>
  <c r="L28" i="5" l="1"/>
  <c r="L18" i="17"/>
  <c r="H6" i="12"/>
  <c r="H8" s="1"/>
  <c r="X17" i="1"/>
  <c r="H6" i="11"/>
  <c r="H7" s="1"/>
  <c r="H9" s="1"/>
  <c r="D224" i="6"/>
  <c r="J13" i="8"/>
  <c r="D256" i="6" s="1"/>
  <c r="S28" i="5" l="1"/>
  <c r="R28"/>
  <c r="D209" i="6"/>
  <c r="F209" s="1"/>
  <c r="C241" s="1"/>
  <c r="D212"/>
  <c r="F212" s="1"/>
  <c r="C244" s="1"/>
  <c r="H7" i="2"/>
  <c r="D208" i="6"/>
  <c r="F208" s="1"/>
  <c r="C240" s="1"/>
  <c r="D203"/>
  <c r="F203" s="1"/>
  <c r="C235" s="1"/>
  <c r="D201"/>
  <c r="F201" s="1"/>
  <c r="C233" s="1"/>
  <c r="D213"/>
  <c r="F213" s="1"/>
  <c r="C245" s="1"/>
  <c r="D204"/>
  <c r="F204" s="1"/>
  <c r="C236" s="1"/>
  <c r="D199"/>
  <c r="F199" s="1"/>
  <c r="D223"/>
  <c r="F223" s="1"/>
  <c r="C255" s="1"/>
  <c r="D207"/>
  <c r="F207" s="1"/>
  <c r="C239" s="1"/>
  <c r="D216"/>
  <c r="F216" s="1"/>
  <c r="C248" s="1"/>
  <c r="D218"/>
  <c r="F218" s="1"/>
  <c r="C250" s="1"/>
  <c r="D214"/>
  <c r="F214" s="1"/>
  <c r="C246" s="1"/>
  <c r="D221"/>
  <c r="F221" s="1"/>
  <c r="C253" s="1"/>
  <c r="D220"/>
  <c r="F220" s="1"/>
  <c r="C252" s="1"/>
  <c r="D210"/>
  <c r="F210" s="1"/>
  <c r="C242" s="1"/>
  <c r="D222"/>
  <c r="F222" s="1"/>
  <c r="C254" s="1"/>
  <c r="D202"/>
  <c r="F202" s="1"/>
  <c r="C234" s="1"/>
  <c r="D217"/>
  <c r="F217" s="1"/>
  <c r="C249" s="1"/>
  <c r="D219"/>
  <c r="F219" s="1"/>
  <c r="C251" s="1"/>
  <c r="D200"/>
  <c r="F200" s="1"/>
  <c r="C232" s="1"/>
  <c r="D211"/>
  <c r="F211" s="1"/>
  <c r="C243" s="1"/>
  <c r="D206"/>
  <c r="F206" s="1"/>
  <c r="C238" s="1"/>
  <c r="D215"/>
  <c r="F215" s="1"/>
  <c r="C247" s="1"/>
  <c r="D205"/>
  <c r="F205" s="1"/>
  <c r="C237" s="1"/>
  <c r="J7" i="8"/>
  <c r="J15" s="1"/>
  <c r="I9" i="5"/>
  <c r="D251" i="6"/>
  <c r="D235"/>
  <c r="D245"/>
  <c r="D244"/>
  <c r="D247"/>
  <c r="D238"/>
  <c r="D233"/>
  <c r="D248"/>
  <c r="F248" s="1"/>
  <c r="C280" s="1"/>
  <c r="D236"/>
  <c r="D239"/>
  <c r="D250"/>
  <c r="D253"/>
  <c r="D242"/>
  <c r="D234"/>
  <c r="D241"/>
  <c r="D255"/>
  <c r="D249"/>
  <c r="D252"/>
  <c r="I7" i="2"/>
  <c r="D240" i="6"/>
  <c r="F240" s="1"/>
  <c r="C272" s="1"/>
  <c r="D254"/>
  <c r="D246"/>
  <c r="F246" s="1"/>
  <c r="C278" s="1"/>
  <c r="D237"/>
  <c r="D231"/>
  <c r="D243"/>
  <c r="D232"/>
  <c r="F232" s="1"/>
  <c r="C264" s="1"/>
  <c r="O9" i="5" l="1"/>
  <c r="F234" i="6"/>
  <c r="C266" s="1"/>
  <c r="F239"/>
  <c r="C271" s="1"/>
  <c r="F236"/>
  <c r="C268" s="1"/>
  <c r="F252"/>
  <c r="C284" s="1"/>
  <c r="F235"/>
  <c r="C267" s="1"/>
  <c r="F241"/>
  <c r="C273" s="1"/>
  <c r="F255"/>
  <c r="C287" s="1"/>
  <c r="F233"/>
  <c r="C265" s="1"/>
  <c r="F250"/>
  <c r="C282" s="1"/>
  <c r="F253"/>
  <c r="C285" s="1"/>
  <c r="F224"/>
  <c r="I6" i="5" s="1"/>
  <c r="C231" i="6"/>
  <c r="F254"/>
  <c r="C286" s="1"/>
  <c r="F247"/>
  <c r="C279" s="1"/>
  <c r="F251"/>
  <c r="C283" s="1"/>
  <c r="F242"/>
  <c r="C274" s="1"/>
  <c r="J9" i="5"/>
  <c r="K7" i="8"/>
  <c r="H5" i="2"/>
  <c r="I6"/>
  <c r="F237" i="6"/>
  <c r="C269" s="1"/>
  <c r="F243"/>
  <c r="C275" s="1"/>
  <c r="F245"/>
  <c r="C277" s="1"/>
  <c r="F244"/>
  <c r="C276" s="1"/>
  <c r="F238"/>
  <c r="C270" s="1"/>
  <c r="F249"/>
  <c r="C281" s="1"/>
  <c r="K13" i="8"/>
  <c r="D288" i="6" s="1"/>
  <c r="O6" i="5" l="1"/>
  <c r="P9"/>
  <c r="K15" i="8"/>
  <c r="H26" i="17"/>
  <c r="H34" s="1"/>
  <c r="C256" i="6"/>
  <c r="F231"/>
  <c r="D266"/>
  <c r="F266" s="1"/>
  <c r="C298" s="1"/>
  <c r="D284"/>
  <c r="F284" s="1"/>
  <c r="C316" s="1"/>
  <c r="D270"/>
  <c r="F270" s="1"/>
  <c r="C302" s="1"/>
  <c r="D287"/>
  <c r="F287" s="1"/>
  <c r="C319" s="1"/>
  <c r="D275"/>
  <c r="F275" s="1"/>
  <c r="C307" s="1"/>
  <c r="J7" i="2"/>
  <c r="D281" i="6"/>
  <c r="F281" s="1"/>
  <c r="C313" s="1"/>
  <c r="D280"/>
  <c r="F280" s="1"/>
  <c r="C312" s="1"/>
  <c r="D283"/>
  <c r="F283" s="1"/>
  <c r="C315" s="1"/>
  <c r="D265"/>
  <c r="F265" s="1"/>
  <c r="C297" s="1"/>
  <c r="D263"/>
  <c r="D264"/>
  <c r="F264" s="1"/>
  <c r="C296" s="1"/>
  <c r="D278"/>
  <c r="F278" s="1"/>
  <c r="C310" s="1"/>
  <c r="D268"/>
  <c r="F268" s="1"/>
  <c r="C300" s="1"/>
  <c r="D276"/>
  <c r="F276" s="1"/>
  <c r="C308" s="1"/>
  <c r="D271"/>
  <c r="F271" s="1"/>
  <c r="C303" s="1"/>
  <c r="D272"/>
  <c r="F272" s="1"/>
  <c r="C304" s="1"/>
  <c r="D267"/>
  <c r="F267" s="1"/>
  <c r="C299" s="1"/>
  <c r="D279"/>
  <c r="F279" s="1"/>
  <c r="C311" s="1"/>
  <c r="D277"/>
  <c r="F277" s="1"/>
  <c r="C309" s="1"/>
  <c r="D274"/>
  <c r="F274" s="1"/>
  <c r="C306" s="1"/>
  <c r="D273"/>
  <c r="F273" s="1"/>
  <c r="C305" s="1"/>
  <c r="D285"/>
  <c r="F285" s="1"/>
  <c r="C317" s="1"/>
  <c r="D286"/>
  <c r="F286" s="1"/>
  <c r="C318" s="1"/>
  <c r="D269"/>
  <c r="F269" s="1"/>
  <c r="C301" s="1"/>
  <c r="D282"/>
  <c r="F282" s="1"/>
  <c r="C314" s="1"/>
  <c r="J6" i="2"/>
  <c r="I5"/>
  <c r="L13" i="8"/>
  <c r="D320" i="6" s="1"/>
  <c r="C263" l="1"/>
  <c r="F256"/>
  <c r="J6" i="5" s="1"/>
  <c r="K9"/>
  <c r="L7" i="8"/>
  <c r="L15" s="1"/>
  <c r="D310" i="6"/>
  <c r="F310" s="1"/>
  <c r="C342" s="1"/>
  <c r="D308"/>
  <c r="F308" s="1"/>
  <c r="C340" s="1"/>
  <c r="D307"/>
  <c r="F307" s="1"/>
  <c r="C339" s="1"/>
  <c r="D305"/>
  <c r="F305" s="1"/>
  <c r="C337" s="1"/>
  <c r="D295"/>
  <c r="D313"/>
  <c r="F313" s="1"/>
  <c r="C345" s="1"/>
  <c r="D301"/>
  <c r="F301" s="1"/>
  <c r="C333" s="1"/>
  <c r="D299"/>
  <c r="F299" s="1"/>
  <c r="C331" s="1"/>
  <c r="D309"/>
  <c r="F309" s="1"/>
  <c r="C341" s="1"/>
  <c r="D296"/>
  <c r="F296" s="1"/>
  <c r="C328" s="1"/>
  <c r="D314"/>
  <c r="F314" s="1"/>
  <c r="C346" s="1"/>
  <c r="D297"/>
  <c r="F297" s="1"/>
  <c r="C329" s="1"/>
  <c r="D298"/>
  <c r="F298" s="1"/>
  <c r="C330" s="1"/>
  <c r="D316"/>
  <c r="F316" s="1"/>
  <c r="C348" s="1"/>
  <c r="D311"/>
  <c r="F311" s="1"/>
  <c r="C343" s="1"/>
  <c r="D300"/>
  <c r="F300" s="1"/>
  <c r="C332" s="1"/>
  <c r="D304"/>
  <c r="F304" s="1"/>
  <c r="C336" s="1"/>
  <c r="D319"/>
  <c r="F319" s="1"/>
  <c r="C351" s="1"/>
  <c r="D303"/>
  <c r="F303" s="1"/>
  <c r="C335" s="1"/>
  <c r="K7" i="2"/>
  <c r="D318" i="6"/>
  <c r="F318" s="1"/>
  <c r="C350" s="1"/>
  <c r="D315"/>
  <c r="F315" s="1"/>
  <c r="C347" s="1"/>
  <c r="D312"/>
  <c r="F312" s="1"/>
  <c r="C344" s="1"/>
  <c r="D302"/>
  <c r="F302" s="1"/>
  <c r="C334" s="1"/>
  <c r="D306"/>
  <c r="F306" s="1"/>
  <c r="C338" s="1"/>
  <c r="D317"/>
  <c r="F317" s="1"/>
  <c r="C349" s="1"/>
  <c r="J5" i="2"/>
  <c r="K6"/>
  <c r="P6" i="5" l="1"/>
  <c r="Q9"/>
  <c r="I26" i="17"/>
  <c r="I34" s="1"/>
  <c r="K5" i="2"/>
  <c r="L6"/>
  <c r="L9" i="5"/>
  <c r="M7" i="8"/>
  <c r="C288" i="6"/>
  <c r="F263"/>
  <c r="M13" i="8"/>
  <c r="D352" i="6" s="1"/>
  <c r="R9" i="5" l="1"/>
  <c r="M15" i="8"/>
  <c r="M9" i="5" s="1"/>
  <c r="F288" i="6"/>
  <c r="K6" i="5" s="1"/>
  <c r="C295" i="6"/>
  <c r="D348"/>
  <c r="F348" s="1"/>
  <c r="L7" i="2"/>
  <c r="D346" i="6"/>
  <c r="F346" s="1"/>
  <c r="D347"/>
  <c r="F347" s="1"/>
  <c r="D338"/>
  <c r="F338" s="1"/>
  <c r="D339"/>
  <c r="F339" s="1"/>
  <c r="D343"/>
  <c r="F343" s="1"/>
  <c r="D341"/>
  <c r="F341" s="1"/>
  <c r="D344"/>
  <c r="F344" s="1"/>
  <c r="D349"/>
  <c r="F349" s="1"/>
  <c r="D350"/>
  <c r="F350" s="1"/>
  <c r="D345"/>
  <c r="F345" s="1"/>
  <c r="D327"/>
  <c r="D337"/>
  <c r="F337" s="1"/>
  <c r="D334"/>
  <c r="F334" s="1"/>
  <c r="D335"/>
  <c r="F335" s="1"/>
  <c r="D328"/>
  <c r="F328" s="1"/>
  <c r="D336"/>
  <c r="F336" s="1"/>
  <c r="D333"/>
  <c r="F333" s="1"/>
  <c r="D332"/>
  <c r="F332" s="1"/>
  <c r="D342"/>
  <c r="F342" s="1"/>
  <c r="D331"/>
  <c r="F331" s="1"/>
  <c r="D351"/>
  <c r="F351" s="1"/>
  <c r="D340"/>
  <c r="F340" s="1"/>
  <c r="D329"/>
  <c r="F329" s="1"/>
  <c r="D330"/>
  <c r="F330" s="1"/>
  <c r="Q6" i="5" l="1"/>
  <c r="S9"/>
  <c r="J26" i="17"/>
  <c r="J34" s="1"/>
  <c r="L5" i="2"/>
  <c r="C320" i="6"/>
  <c r="F295"/>
  <c r="C327" l="1"/>
  <c r="F320"/>
  <c r="L6" i="5" s="1"/>
  <c r="R6" l="1"/>
  <c r="C352" i="6"/>
  <c r="F327"/>
  <c r="F352" s="1"/>
  <c r="M6" i="5" s="1"/>
  <c r="K26" i="17"/>
  <c r="K34" s="1"/>
  <c r="S6" i="5" l="1"/>
  <c r="L26" i="17"/>
  <c r="L34" s="1"/>
  <c r="M11" i="10" l="1"/>
  <c r="J11"/>
  <c r="L11"/>
  <c r="K11"/>
  <c r="E69" i="13" l="1"/>
  <c r="E70" s="1"/>
  <c r="L14" i="10"/>
  <c r="E63" i="13"/>
  <c r="E64" s="1"/>
  <c r="L16" i="10"/>
  <c r="J16"/>
  <c r="E51" i="13"/>
  <c r="E52" s="1"/>
  <c r="J14" i="10"/>
  <c r="K16"/>
  <c r="K14"/>
  <c r="E57" i="13"/>
  <c r="E58" s="1"/>
  <c r="M16" i="10"/>
  <c r="M14"/>
  <c r="I11"/>
  <c r="K16" i="1" l="1"/>
  <c r="L8" i="11"/>
  <c r="I16" i="10"/>
  <c r="E45" i="13"/>
  <c r="I14" i="10"/>
  <c r="J8" i="11"/>
  <c r="I16" i="1"/>
  <c r="K8" i="11"/>
  <c r="J16" i="1"/>
  <c r="M8" i="11"/>
  <c r="L16" i="1"/>
  <c r="H16" l="1"/>
  <c r="I8" i="11"/>
  <c r="E46" i="13"/>
  <c r="M221" i="7" l="1"/>
  <c r="M253" s="1"/>
  <c r="M285" s="1"/>
  <c r="M317" s="1"/>
  <c r="M349" s="1"/>
  <c r="D69" i="13"/>
  <c r="M29" i="9" s="1"/>
  <c r="D45" i="13"/>
  <c r="D51"/>
  <c r="J29" i="9" s="1"/>
  <c r="D63" i="13"/>
  <c r="L29" i="9" s="1"/>
  <c r="M212" i="7"/>
  <c r="M244" s="1"/>
  <c r="M276" s="1"/>
  <c r="M308" s="1"/>
  <c r="M340" s="1"/>
  <c r="M214"/>
  <c r="M246" s="1"/>
  <c r="M278" s="1"/>
  <c r="M310" s="1"/>
  <c r="M342" s="1"/>
  <c r="M219"/>
  <c r="M251" s="1"/>
  <c r="M283" s="1"/>
  <c r="M315" s="1"/>
  <c r="M347" s="1"/>
  <c r="M206"/>
  <c r="M238" s="1"/>
  <c r="M270" s="1"/>
  <c r="M302" s="1"/>
  <c r="M334" s="1"/>
  <c r="M209"/>
  <c r="M241" s="1"/>
  <c r="M273" s="1"/>
  <c r="M305" s="1"/>
  <c r="M337" s="1"/>
  <c r="M204"/>
  <c r="M236" s="1"/>
  <c r="M268" s="1"/>
  <c r="M300" s="1"/>
  <c r="M332" s="1"/>
  <c r="M220"/>
  <c r="M252" s="1"/>
  <c r="M284" s="1"/>
  <c r="M316" s="1"/>
  <c r="M348" s="1"/>
  <c r="M217"/>
  <c r="M249" s="1"/>
  <c r="M281" s="1"/>
  <c r="M313" s="1"/>
  <c r="M345" s="1"/>
  <c r="M223"/>
  <c r="M255" s="1"/>
  <c r="M287" s="1"/>
  <c r="M319" s="1"/>
  <c r="M351" s="1"/>
  <c r="M207"/>
  <c r="M239" s="1"/>
  <c r="M271" s="1"/>
  <c r="M303" s="1"/>
  <c r="M335" s="1"/>
  <c r="M215"/>
  <c r="M247" s="1"/>
  <c r="M279" s="1"/>
  <c r="M311" s="1"/>
  <c r="M343" s="1"/>
  <c r="M222"/>
  <c r="M254" s="1"/>
  <c r="M286" s="1"/>
  <c r="M318" s="1"/>
  <c r="M350" s="1"/>
  <c r="M211"/>
  <c r="M243" s="1"/>
  <c r="M275" s="1"/>
  <c r="M307" s="1"/>
  <c r="M339" s="1"/>
  <c r="M210"/>
  <c r="M242" s="1"/>
  <c r="M274" s="1"/>
  <c r="M306" s="1"/>
  <c r="M338" s="1"/>
  <c r="M218"/>
  <c r="M250" s="1"/>
  <c r="M282" s="1"/>
  <c r="M314" s="1"/>
  <c r="M346" s="1"/>
  <c r="M200"/>
  <c r="M232" s="1"/>
  <c r="M264" s="1"/>
  <c r="M296" s="1"/>
  <c r="M328" s="1"/>
  <c r="M208"/>
  <c r="M240" s="1"/>
  <c r="M272" s="1"/>
  <c r="M304" s="1"/>
  <c r="M336" s="1"/>
  <c r="M202"/>
  <c r="M234" s="1"/>
  <c r="M266" s="1"/>
  <c r="M298" s="1"/>
  <c r="M330" s="1"/>
  <c r="M213"/>
  <c r="M245" s="1"/>
  <c r="M277" s="1"/>
  <c r="M309" s="1"/>
  <c r="M341" s="1"/>
  <c r="M203"/>
  <c r="M235" s="1"/>
  <c r="M267" s="1"/>
  <c r="M299" s="1"/>
  <c r="M331" s="1"/>
  <c r="M216"/>
  <c r="M248" s="1"/>
  <c r="M280" s="1"/>
  <c r="M312" s="1"/>
  <c r="M344" s="1"/>
  <c r="M205"/>
  <c r="M237" s="1"/>
  <c r="M269" s="1"/>
  <c r="M301" s="1"/>
  <c r="M333" s="1"/>
  <c r="M199"/>
  <c r="M231" s="1"/>
  <c r="M263" s="1"/>
  <c r="M295" s="1"/>
  <c r="M327" s="1"/>
  <c r="I29" i="9" l="1"/>
  <c r="I30" s="1"/>
  <c r="D64" i="13"/>
  <c r="K13" i="2" s="1"/>
  <c r="D70" i="13"/>
  <c r="L13" i="2" s="1"/>
  <c r="D52" i="13"/>
  <c r="I13" i="2" s="1"/>
  <c r="M201" i="7"/>
  <c r="M233" s="1"/>
  <c r="M265" s="1"/>
  <c r="M297" s="1"/>
  <c r="M329" s="1"/>
  <c r="D57" i="13"/>
  <c r="K29" i="9" s="1"/>
  <c r="D46" i="13"/>
  <c r="H13" i="2" s="1"/>
  <c r="F45" i="13"/>
  <c r="J27" i="9" l="1"/>
  <c r="J30" s="1"/>
  <c r="I32"/>
  <c r="D58" i="13"/>
  <c r="J13" i="2" s="1"/>
  <c r="H11"/>
  <c r="I12"/>
  <c r="F46" i="13"/>
  <c r="I29" i="5" s="1"/>
  <c r="C51" i="13"/>
  <c r="O29" i="5" l="1"/>
  <c r="H40" i="17"/>
  <c r="H44" s="1"/>
  <c r="K27" i="9"/>
  <c r="K30" s="1"/>
  <c r="J32"/>
  <c r="F51" i="13"/>
  <c r="C52"/>
  <c r="J12" i="2"/>
  <c r="I11"/>
  <c r="L27" i="9" l="1"/>
  <c r="L30" s="1"/>
  <c r="K32"/>
  <c r="J11" i="2"/>
  <c r="K12"/>
  <c r="C57" i="13"/>
  <c r="F52"/>
  <c r="J29" i="5" s="1"/>
  <c r="M27" i="9" l="1"/>
  <c r="M30" s="1"/>
  <c r="M32" s="1"/>
  <c r="L32"/>
  <c r="P29" i="5"/>
  <c r="I40" i="17"/>
  <c r="I44" s="1"/>
  <c r="L12" i="2"/>
  <c r="L11" s="1"/>
  <c r="K11"/>
  <c r="C58" i="13"/>
  <c r="F57"/>
  <c r="E256" i="7" l="1"/>
  <c r="I6" i="1"/>
  <c r="E288" i="7"/>
  <c r="J6" i="1"/>
  <c r="C63" i="13"/>
  <c r="F58"/>
  <c r="K29" i="5" s="1"/>
  <c r="H6" i="1"/>
  <c r="E224" i="7"/>
  <c r="Q29" i="5" l="1"/>
  <c r="J40" i="17"/>
  <c r="J44" s="1"/>
  <c r="E320" i="7"/>
  <c r="K6" i="1"/>
  <c r="E282" i="7"/>
  <c r="E264"/>
  <c r="E266"/>
  <c r="E285"/>
  <c r="E273"/>
  <c r="E274"/>
  <c r="E278"/>
  <c r="E276"/>
  <c r="E270"/>
  <c r="E286"/>
  <c r="E287"/>
  <c r="E281"/>
  <c r="E268"/>
  <c r="E277"/>
  <c r="E279"/>
  <c r="E267"/>
  <c r="E263"/>
  <c r="E284"/>
  <c r="E275"/>
  <c r="E272"/>
  <c r="E280"/>
  <c r="E269"/>
  <c r="E265"/>
  <c r="E283"/>
  <c r="E271"/>
  <c r="E221"/>
  <c r="E203"/>
  <c r="E206"/>
  <c r="E207"/>
  <c r="E204"/>
  <c r="E212"/>
  <c r="E220"/>
  <c r="E208"/>
  <c r="E222"/>
  <c r="E214"/>
  <c r="E219"/>
  <c r="E218"/>
  <c r="E217"/>
  <c r="E210"/>
  <c r="E199"/>
  <c r="E202"/>
  <c r="E213"/>
  <c r="E211"/>
  <c r="E223"/>
  <c r="E216"/>
  <c r="E205"/>
  <c r="E200"/>
  <c r="E201"/>
  <c r="E215"/>
  <c r="E209"/>
  <c r="F63" i="13"/>
  <c r="C64"/>
  <c r="E250" i="7"/>
  <c r="E234"/>
  <c r="E245"/>
  <c r="E238"/>
  <c r="E253"/>
  <c r="E244"/>
  <c r="E251"/>
  <c r="E239"/>
  <c r="E232"/>
  <c r="E235"/>
  <c r="E255"/>
  <c r="E242"/>
  <c r="E231"/>
  <c r="E237"/>
  <c r="E240"/>
  <c r="E246"/>
  <c r="E248"/>
  <c r="E254"/>
  <c r="E243"/>
  <c r="E249"/>
  <c r="E236"/>
  <c r="E247"/>
  <c r="E252"/>
  <c r="E241"/>
  <c r="E233"/>
  <c r="G255" l="1"/>
  <c r="G200"/>
  <c r="I200" s="1"/>
  <c r="B232" s="1"/>
  <c r="G211"/>
  <c r="I211" s="1"/>
  <c r="B243" s="1"/>
  <c r="G210"/>
  <c r="I210" s="1"/>
  <c r="B242" s="1"/>
  <c r="G214"/>
  <c r="I214" s="1"/>
  <c r="B246" s="1"/>
  <c r="G212"/>
  <c r="I212" s="1"/>
  <c r="B244" s="1"/>
  <c r="G203"/>
  <c r="I203" s="1"/>
  <c r="B235" s="1"/>
  <c r="G265"/>
  <c r="G275"/>
  <c r="G279"/>
  <c r="G287"/>
  <c r="G278"/>
  <c r="G266"/>
  <c r="G243"/>
  <c r="G241"/>
  <c r="G223"/>
  <c r="I223" s="1"/>
  <c r="B255" s="1"/>
  <c r="G219"/>
  <c r="I219" s="1"/>
  <c r="B251" s="1"/>
  <c r="G206"/>
  <c r="I206" s="1"/>
  <c r="B238" s="1"/>
  <c r="G283"/>
  <c r="G267"/>
  <c r="G281"/>
  <c r="G276"/>
  <c r="G285"/>
  <c r="G245"/>
  <c r="G249"/>
  <c r="G246"/>
  <c r="G242"/>
  <c r="G239"/>
  <c r="G201"/>
  <c r="I201" s="1"/>
  <c r="B233" s="1"/>
  <c r="G199"/>
  <c r="G248"/>
  <c r="G253"/>
  <c r="G216"/>
  <c r="I216" s="1"/>
  <c r="B248" s="1"/>
  <c r="G218"/>
  <c r="I218" s="1"/>
  <c r="B250" s="1"/>
  <c r="G207"/>
  <c r="I207" s="1"/>
  <c r="B239" s="1"/>
  <c r="G271"/>
  <c r="G280"/>
  <c r="G263"/>
  <c r="G268"/>
  <c r="G270"/>
  <c r="G273"/>
  <c r="G282"/>
  <c r="G252"/>
  <c r="G251"/>
  <c r="G238"/>
  <c r="G220"/>
  <c r="I220" s="1"/>
  <c r="B252" s="1"/>
  <c r="G233"/>
  <c r="G236"/>
  <c r="G231"/>
  <c r="G232"/>
  <c r="G250"/>
  <c r="I250" s="1"/>
  <c r="B282" s="1"/>
  <c r="I282" s="1"/>
  <c r="B314" s="1"/>
  <c r="G215"/>
  <c r="I215" s="1"/>
  <c r="B247" s="1"/>
  <c r="G202"/>
  <c r="I202" s="1"/>
  <c r="B234" s="1"/>
  <c r="G247"/>
  <c r="G254"/>
  <c r="G237"/>
  <c r="G235"/>
  <c r="G244"/>
  <c r="G234"/>
  <c r="G256" s="1"/>
  <c r="I10" i="2" s="1"/>
  <c r="I15" s="1"/>
  <c r="G209" i="7"/>
  <c r="I209" s="1"/>
  <c r="B241" s="1"/>
  <c r="G205"/>
  <c r="I205" s="1"/>
  <c r="B237" s="1"/>
  <c r="I237" s="1"/>
  <c r="B269" s="1"/>
  <c r="G213"/>
  <c r="I213" s="1"/>
  <c r="B245" s="1"/>
  <c r="G217"/>
  <c r="I217" s="1"/>
  <c r="B249" s="1"/>
  <c r="G222"/>
  <c r="I222" s="1"/>
  <c r="B254" s="1"/>
  <c r="G204"/>
  <c r="I204" s="1"/>
  <c r="B236" s="1"/>
  <c r="I236" s="1"/>
  <c r="B268" s="1"/>
  <c r="I268" s="1"/>
  <c r="B300" s="1"/>
  <c r="G221"/>
  <c r="I221" s="1"/>
  <c r="B253" s="1"/>
  <c r="I253" s="1"/>
  <c r="B285" s="1"/>
  <c r="I285" s="1"/>
  <c r="B317" s="1"/>
  <c r="G269"/>
  <c r="G284"/>
  <c r="G277"/>
  <c r="G288" s="1"/>
  <c r="J10" i="2" s="1"/>
  <c r="J15" s="1"/>
  <c r="G286" i="7"/>
  <c r="G274"/>
  <c r="G264"/>
  <c r="I233"/>
  <c r="B265" s="1"/>
  <c r="I265" s="1"/>
  <c r="B297" s="1"/>
  <c r="I255"/>
  <c r="B287" s="1"/>
  <c r="I287" s="1"/>
  <c r="B319" s="1"/>
  <c r="I251"/>
  <c r="B283" s="1"/>
  <c r="I283" s="1"/>
  <c r="B315" s="1"/>
  <c r="I234"/>
  <c r="B266" s="1"/>
  <c r="I266" s="1"/>
  <c r="B298" s="1"/>
  <c r="I245"/>
  <c r="B277" s="1"/>
  <c r="E352"/>
  <c r="L6" i="1"/>
  <c r="G224" i="7"/>
  <c r="H10" i="2" s="1"/>
  <c r="I199" i="7"/>
  <c r="C69" i="13"/>
  <c r="F64"/>
  <c r="L29" i="5" s="1"/>
  <c r="E307" i="7"/>
  <c r="E312"/>
  <c r="E318"/>
  <c r="E310"/>
  <c r="E302"/>
  <c r="E299"/>
  <c r="E301"/>
  <c r="E313"/>
  <c r="E298"/>
  <c r="E319"/>
  <c r="E295"/>
  <c r="E306"/>
  <c r="E309"/>
  <c r="E300"/>
  <c r="E303"/>
  <c r="E297"/>
  <c r="E308"/>
  <c r="E317"/>
  <c r="E305"/>
  <c r="E315"/>
  <c r="E316"/>
  <c r="E304"/>
  <c r="E311"/>
  <c r="E296"/>
  <c r="E314"/>
  <c r="I238"/>
  <c r="B270" s="1"/>
  <c r="I270" s="1"/>
  <c r="B302" s="1"/>
  <c r="I248"/>
  <c r="B280" s="1"/>
  <c r="I280" s="1"/>
  <c r="B312" s="1"/>
  <c r="I239"/>
  <c r="B271" s="1"/>
  <c r="I271" s="1"/>
  <c r="B303" s="1"/>
  <c r="I241"/>
  <c r="B273" s="1"/>
  <c r="I273" s="1"/>
  <c r="B305" s="1"/>
  <c r="I249"/>
  <c r="B281" s="1"/>
  <c r="I281" s="1"/>
  <c r="B313" s="1"/>
  <c r="I254"/>
  <c r="B286" s="1"/>
  <c r="I286" s="1"/>
  <c r="B318" s="1"/>
  <c r="I232"/>
  <c r="B264" s="1"/>
  <c r="I264" s="1"/>
  <c r="B296" s="1"/>
  <c r="I243"/>
  <c r="B275" s="1"/>
  <c r="I275" s="1"/>
  <c r="B307" s="1"/>
  <c r="I242"/>
  <c r="B274" s="1"/>
  <c r="I246"/>
  <c r="B278" s="1"/>
  <c r="I278" s="1"/>
  <c r="B310" s="1"/>
  <c r="I244"/>
  <c r="B276" s="1"/>
  <c r="I276" s="1"/>
  <c r="B308" s="1"/>
  <c r="I235"/>
  <c r="B267" s="1"/>
  <c r="I267" s="1"/>
  <c r="B299" s="1"/>
  <c r="R29" i="5" l="1"/>
  <c r="K40" i="17"/>
  <c r="K44" s="1"/>
  <c r="I269" i="7"/>
  <c r="B301" s="1"/>
  <c r="I252"/>
  <c r="B284" s="1"/>
  <c r="I247"/>
  <c r="B279" s="1"/>
  <c r="I279" s="1"/>
  <c r="B311" s="1"/>
  <c r="I284"/>
  <c r="B316" s="1"/>
  <c r="I274"/>
  <c r="B306" s="1"/>
  <c r="G296"/>
  <c r="G297"/>
  <c r="I297" s="1"/>
  <c r="B329" s="1"/>
  <c r="G306"/>
  <c r="G313"/>
  <c r="G310"/>
  <c r="G314"/>
  <c r="G316"/>
  <c r="G308"/>
  <c r="G309"/>
  <c r="G298"/>
  <c r="I298" s="1"/>
  <c r="B330" s="1"/>
  <c r="G302"/>
  <c r="G307"/>
  <c r="G317"/>
  <c r="I317" s="1"/>
  <c r="B349" s="1"/>
  <c r="G300"/>
  <c r="I300" s="1"/>
  <c r="B332" s="1"/>
  <c r="G319"/>
  <c r="I319" s="1"/>
  <c r="B351" s="1"/>
  <c r="G299"/>
  <c r="I299" s="1"/>
  <c r="B331" s="1"/>
  <c r="G312"/>
  <c r="I312" s="1"/>
  <c r="B344" s="1"/>
  <c r="I277"/>
  <c r="B309" s="1"/>
  <c r="G315"/>
  <c r="I315" s="1"/>
  <c r="B347" s="1"/>
  <c r="G311"/>
  <c r="I311" s="1"/>
  <c r="B343" s="1"/>
  <c r="G305"/>
  <c r="I305" s="1"/>
  <c r="B337" s="1"/>
  <c r="G303"/>
  <c r="I303" s="1"/>
  <c r="B335" s="1"/>
  <c r="G295"/>
  <c r="G301"/>
  <c r="I301" s="1"/>
  <c r="B333" s="1"/>
  <c r="G318"/>
  <c r="I318" s="1"/>
  <c r="B350" s="1"/>
  <c r="I307"/>
  <c r="B339" s="1"/>
  <c r="I309"/>
  <c r="B341" s="1"/>
  <c r="I308"/>
  <c r="B340" s="1"/>
  <c r="I296"/>
  <c r="B328" s="1"/>
  <c r="H15" i="2"/>
  <c r="H16" s="1"/>
  <c r="I10" i="18" s="1"/>
  <c r="H8" i="2"/>
  <c r="I9"/>
  <c r="B231" i="7"/>
  <c r="I224"/>
  <c r="I7" i="5" s="1"/>
  <c r="F69" i="13"/>
  <c r="F70" s="1"/>
  <c r="M29" i="5" s="1"/>
  <c r="C70" i="13"/>
  <c r="E346" i="7"/>
  <c r="E330"/>
  <c r="E332"/>
  <c r="E350"/>
  <c r="E342"/>
  <c r="E329"/>
  <c r="E343"/>
  <c r="E349"/>
  <c r="E339"/>
  <c r="E328"/>
  <c r="E334"/>
  <c r="E336"/>
  <c r="E340"/>
  <c r="E345"/>
  <c r="E327"/>
  <c r="E333"/>
  <c r="E351"/>
  <c r="E335"/>
  <c r="E341"/>
  <c r="E344"/>
  <c r="E337"/>
  <c r="E331"/>
  <c r="E338"/>
  <c r="E347"/>
  <c r="E348"/>
  <c r="I313"/>
  <c r="B345" s="1"/>
  <c r="I306"/>
  <c r="B338" s="1"/>
  <c r="I302"/>
  <c r="B334" s="1"/>
  <c r="I310"/>
  <c r="B342" s="1"/>
  <c r="I314"/>
  <c r="B346" s="1"/>
  <c r="G320"/>
  <c r="K10" i="2" s="1"/>
  <c r="K15" s="1"/>
  <c r="S29" i="5" l="1"/>
  <c r="L40" i="17"/>
  <c r="L44" s="1"/>
  <c r="I316" i="7"/>
  <c r="B348" s="1"/>
  <c r="G348"/>
  <c r="G337"/>
  <c r="I337" s="1"/>
  <c r="G351"/>
  <c r="I351" s="1"/>
  <c r="G340"/>
  <c r="I340" s="1"/>
  <c r="G339"/>
  <c r="I339" s="1"/>
  <c r="G342"/>
  <c r="G346"/>
  <c r="I346" s="1"/>
  <c r="G331"/>
  <c r="I331" s="1"/>
  <c r="G345"/>
  <c r="I345" s="1"/>
  <c r="G329"/>
  <c r="I329" s="1"/>
  <c r="G335"/>
  <c r="I335" s="1"/>
  <c r="G330"/>
  <c r="I330" s="1"/>
  <c r="G341"/>
  <c r="I341" s="1"/>
  <c r="G343"/>
  <c r="I343" s="1"/>
  <c r="G328"/>
  <c r="I328" s="1"/>
  <c r="G338"/>
  <c r="G327"/>
  <c r="G334"/>
  <c r="G332"/>
  <c r="I332" s="1"/>
  <c r="G347"/>
  <c r="I347" s="1"/>
  <c r="G344"/>
  <c r="I344" s="1"/>
  <c r="G333"/>
  <c r="I333" s="1"/>
  <c r="G349"/>
  <c r="I349" s="1"/>
  <c r="G350"/>
  <c r="I350" s="1"/>
  <c r="O7" i="5"/>
  <c r="I334" i="7"/>
  <c r="I342"/>
  <c r="H7" i="17"/>
  <c r="I8" i="5"/>
  <c r="H19" i="2"/>
  <c r="H18"/>
  <c r="I16"/>
  <c r="J10" i="18" s="1"/>
  <c r="I8" i="2"/>
  <c r="J9"/>
  <c r="B256" i="7"/>
  <c r="I231"/>
  <c r="I338"/>
  <c r="I348" l="1"/>
  <c r="G352"/>
  <c r="L10" i="2" s="1"/>
  <c r="L15" s="1"/>
  <c r="I20" i="5"/>
  <c r="O8"/>
  <c r="O20" s="1"/>
  <c r="I256" i="7"/>
  <c r="J7" i="5" s="1"/>
  <c r="B263" i="7"/>
  <c r="I19" i="2"/>
  <c r="I18"/>
  <c r="H8" i="1"/>
  <c r="I11" i="18"/>
  <c r="I33" i="5"/>
  <c r="J16" i="2"/>
  <c r="K10" i="18" s="1"/>
  <c r="J8" i="2"/>
  <c r="K9"/>
  <c r="H20"/>
  <c r="H15" i="1" s="1"/>
  <c r="O33" i="5" l="1"/>
  <c r="O34" s="1"/>
  <c r="I34"/>
  <c r="P7"/>
  <c r="J8"/>
  <c r="I7" i="17"/>
  <c r="J33" i="5"/>
  <c r="P33" s="1"/>
  <c r="P34" s="1"/>
  <c r="J11" i="18"/>
  <c r="H21" i="17"/>
  <c r="H11" i="1"/>
  <c r="H14" s="1"/>
  <c r="H17" s="1"/>
  <c r="I9" i="4" s="1"/>
  <c r="H6" i="17"/>
  <c r="J18" i="2"/>
  <c r="J19"/>
  <c r="I8" i="1"/>
  <c r="K8" i="2"/>
  <c r="L9"/>
  <c r="K16"/>
  <c r="L10" i="18" s="1"/>
  <c r="I263" i="7"/>
  <c r="B288"/>
  <c r="I20" i="2"/>
  <c r="I15" i="1" s="1"/>
  <c r="H12" i="17" l="1"/>
  <c r="J20" i="2"/>
  <c r="J15" i="1" s="1"/>
  <c r="J20" i="5"/>
  <c r="P8"/>
  <c r="P20" s="1"/>
  <c r="J34"/>
  <c r="L16" i="2"/>
  <c r="M10" i="18" s="1"/>
  <c r="L8" i="2"/>
  <c r="J8" i="1"/>
  <c r="I21" i="17"/>
  <c r="I11" i="1"/>
  <c r="I14" s="1"/>
  <c r="I17" s="1"/>
  <c r="J9" i="4" s="1"/>
  <c r="I6" i="17"/>
  <c r="I30" i="10"/>
  <c r="I31" s="1"/>
  <c r="I6" i="12"/>
  <c r="I8" s="1"/>
  <c r="I6" i="11"/>
  <c r="I7" s="1"/>
  <c r="I9" s="1"/>
  <c r="K33" i="5"/>
  <c r="K11" i="18"/>
  <c r="K18" i="2"/>
  <c r="K19"/>
  <c r="B295" i="7"/>
  <c r="I288"/>
  <c r="K7" i="5" s="1"/>
  <c r="Q33" l="1"/>
  <c r="Q34" s="1"/>
  <c r="K34"/>
  <c r="H19" i="17"/>
  <c r="H23" s="1"/>
  <c r="I12"/>
  <c r="Q7" i="5"/>
  <c r="L18" i="2"/>
  <c r="L19"/>
  <c r="L8" i="1" s="1"/>
  <c r="L11" i="18"/>
  <c r="L33" i="5"/>
  <c r="R33" s="1"/>
  <c r="R34" s="1"/>
  <c r="I10" i="4"/>
  <c r="J30" i="10"/>
  <c r="J31" s="1"/>
  <c r="J6" i="12"/>
  <c r="J8" s="1"/>
  <c r="J6" i="11"/>
  <c r="J7" s="1"/>
  <c r="J9" s="1"/>
  <c r="K8" i="1"/>
  <c r="J6" i="17"/>
  <c r="J21"/>
  <c r="J11" i="1"/>
  <c r="J14" s="1"/>
  <c r="J17" s="1"/>
  <c r="K9" i="4" s="1"/>
  <c r="B320" i="7"/>
  <c r="I295"/>
  <c r="J7" i="17"/>
  <c r="K8" i="5"/>
  <c r="K20" i="2"/>
  <c r="K15" i="1" s="1"/>
  <c r="I19" i="17" l="1"/>
  <c r="I23" s="1"/>
  <c r="K20" i="5"/>
  <c r="Q8"/>
  <c r="Q20" s="1"/>
  <c r="L34"/>
  <c r="L20" i="2"/>
  <c r="L15" i="1" s="1"/>
  <c r="J12" i="17"/>
  <c r="I320" i="7"/>
  <c r="L7" i="5" s="1"/>
  <c r="R7" s="1"/>
  <c r="B327" i="7"/>
  <c r="K21" i="17"/>
  <c r="K11" i="1"/>
  <c r="K14" s="1"/>
  <c r="K17" s="1"/>
  <c r="L9" i="4" s="1"/>
  <c r="K6" i="17"/>
  <c r="J10" i="4"/>
  <c r="M11" i="18"/>
  <c r="M33" i="5"/>
  <c r="S33" s="1"/>
  <c r="S34" s="1"/>
  <c r="L21" i="17"/>
  <c r="L11" i="1"/>
  <c r="L14" s="1"/>
  <c r="L6" i="17"/>
  <c r="K30" i="10"/>
  <c r="K31" s="1"/>
  <c r="K6" i="11"/>
  <c r="K7" s="1"/>
  <c r="K9" s="1"/>
  <c r="K6" i="12"/>
  <c r="K8" s="1"/>
  <c r="J19" i="17" l="1"/>
  <c r="J23" s="1"/>
  <c r="M34" i="5"/>
  <c r="L17" i="1"/>
  <c r="K7" i="17"/>
  <c r="K12" s="1"/>
  <c r="L8" i="5"/>
  <c r="K10" i="4"/>
  <c r="B352" i="7"/>
  <c r="I327"/>
  <c r="I352" s="1"/>
  <c r="M7" i="5" s="1"/>
  <c r="S7" s="1"/>
  <c r="L30" i="10"/>
  <c r="L31" s="1"/>
  <c r="L6" i="12"/>
  <c r="L8" s="1"/>
  <c r="L6" i="11"/>
  <c r="L7" s="1"/>
  <c r="L9" s="1"/>
  <c r="M30" i="10" l="1"/>
  <c r="M31" s="1"/>
  <c r="M9" i="4"/>
  <c r="M10" s="1"/>
  <c r="K19" i="17"/>
  <c r="K23" s="1"/>
  <c r="L20" i="5"/>
  <c r="R8"/>
  <c r="R20" s="1"/>
  <c r="M6" i="11"/>
  <c r="M7" s="1"/>
  <c r="M9" s="1"/>
  <c r="M6" i="12"/>
  <c r="M8" s="1"/>
  <c r="L10" i="4"/>
  <c r="L7" i="17"/>
  <c r="L12" s="1"/>
  <c r="M8" i="5"/>
  <c r="L19" i="17" l="1"/>
  <c r="L23" s="1"/>
  <c r="M20" i="5"/>
  <c r="S8"/>
  <c r="S20" s="1"/>
</calcChain>
</file>

<file path=xl/sharedStrings.xml><?xml version="1.0" encoding="utf-8"?>
<sst xmlns="http://schemas.openxmlformats.org/spreadsheetml/2006/main" count="3732" uniqueCount="514">
  <si>
    <t>Particulars</t>
  </si>
  <si>
    <t>Operation and Maintenance Charges</t>
  </si>
  <si>
    <t>Depreciation</t>
  </si>
  <si>
    <t>Advance Against Depreciation</t>
  </si>
  <si>
    <t>Taxes on Income</t>
  </si>
  <si>
    <t>Other Expenditure</t>
  </si>
  <si>
    <t>Special Appropriations</t>
  </si>
  <si>
    <t>Total Expenditure</t>
  </si>
  <si>
    <t>Less: O&amp;M expenses capitalized</t>
  </si>
  <si>
    <t>Less: Other expenses capitalized</t>
  </si>
  <si>
    <t>Net Expenditure</t>
  </si>
  <si>
    <t>Add: Return on Capital Employed</t>
  </si>
  <si>
    <t>D Link</t>
  </si>
  <si>
    <t>2008-09</t>
  </si>
  <si>
    <t>2009-10</t>
  </si>
  <si>
    <t>2011-12</t>
  </si>
  <si>
    <t>2012-13</t>
  </si>
  <si>
    <t>2013-14</t>
  </si>
  <si>
    <t>2014-15</t>
  </si>
  <si>
    <t>2015-16</t>
  </si>
  <si>
    <t>2016-17</t>
  </si>
  <si>
    <t>2017-18</t>
  </si>
  <si>
    <t>2018-19</t>
  </si>
  <si>
    <t>Form 1a - Regulated Rate Base</t>
  </si>
  <si>
    <t xml:space="preserve">This form pertains to the rate base calculation </t>
  </si>
  <si>
    <t xml:space="preserve"> Assets</t>
  </si>
  <si>
    <t>OCFA Opening Balance</t>
  </si>
  <si>
    <t xml:space="preserve">Additions to OCFA </t>
  </si>
  <si>
    <t>Opening Balance</t>
  </si>
  <si>
    <t>Depreciation during the Year</t>
  </si>
  <si>
    <t xml:space="preserve">Consumer Contributions </t>
  </si>
  <si>
    <t xml:space="preserve"> Cons Contributions Opening Balance</t>
  </si>
  <si>
    <t xml:space="preserve"> Additions to Cons Contributions </t>
  </si>
  <si>
    <t xml:space="preserve"> Working Capital </t>
  </si>
  <si>
    <t xml:space="preserve"> Change in Rate Base  </t>
  </si>
  <si>
    <t xml:space="preserve"> Regulated Rate Base  </t>
  </si>
  <si>
    <t>Form 1b - Capital Structure</t>
  </si>
  <si>
    <t>This form pertains to the calculation of the Weighted Average Cost of capital</t>
  </si>
  <si>
    <t>Capital Structure</t>
  </si>
  <si>
    <t>Debt Percent</t>
  </si>
  <si>
    <t xml:space="preserve">Equity percent </t>
  </si>
  <si>
    <t xml:space="preserve"> Cost of Funds</t>
  </si>
  <si>
    <t xml:space="preserve"> Cost of Debt percent </t>
  </si>
  <si>
    <t xml:space="preserve"> Return on Equity percent </t>
  </si>
  <si>
    <t>WACC</t>
  </si>
  <si>
    <t>Form 1c - Revenue</t>
  </si>
  <si>
    <t>Capacity (MW)</t>
  </si>
  <si>
    <t>Others (Third Party /Open Access)</t>
  </si>
  <si>
    <t>Transmission Charges (Rs/kW/month)</t>
  </si>
  <si>
    <t>Form 1.1(i) - BALANCE SHEET</t>
  </si>
  <si>
    <t>Gross Fixed Assets</t>
  </si>
  <si>
    <t>Net Fixed Assets</t>
  </si>
  <si>
    <t>Capital Expenditure-in-progress</t>
  </si>
  <si>
    <t>Assets not in use</t>
  </si>
  <si>
    <t>Investments</t>
  </si>
  <si>
    <t>Current Assets</t>
  </si>
  <si>
    <t>Stocks</t>
  </si>
  <si>
    <t>Receivables</t>
  </si>
  <si>
    <t>Cash and Bank balances</t>
  </si>
  <si>
    <t>Loans &amp; Advances</t>
  </si>
  <si>
    <t>Other receivables</t>
  </si>
  <si>
    <t xml:space="preserve">Miscellaneous Expenditure </t>
  </si>
  <si>
    <t>Others</t>
  </si>
  <si>
    <t xml:space="preserve">Equity </t>
  </si>
  <si>
    <t>Reserves</t>
  </si>
  <si>
    <t>Indian Loans</t>
  </si>
  <si>
    <t>Foreign Loans</t>
  </si>
  <si>
    <t>Other working capital borrowings</t>
  </si>
  <si>
    <t>Current Liabilities</t>
  </si>
  <si>
    <t>Payment due on Capital Liabilities</t>
  </si>
  <si>
    <t>Surplus/(Deficit)</t>
  </si>
  <si>
    <t>ASSETS:</t>
  </si>
  <si>
    <t>LIABILITIES:</t>
  </si>
  <si>
    <t xml:space="preserve">Form 1.1 a - GROSS FIXED ASSETS </t>
  </si>
  <si>
    <t>Asset Particulars</t>
  </si>
  <si>
    <t>Land &amp; land rights</t>
  </si>
  <si>
    <t>Buildings</t>
  </si>
  <si>
    <t>Intangible Assets</t>
  </si>
  <si>
    <t>Hydraulic Works</t>
  </si>
  <si>
    <t>Other civil works</t>
  </si>
  <si>
    <t>Plant &amp; Machinery</t>
  </si>
  <si>
    <t>Plant and Machinery - 400 kV</t>
  </si>
  <si>
    <t>Plant and Machinery - 220 kV</t>
  </si>
  <si>
    <t>Plant and Machinery - 132 kV</t>
  </si>
  <si>
    <t>Material Handling Equipments</t>
  </si>
  <si>
    <t>Construction Equipments</t>
  </si>
  <si>
    <t>Miscellaneous Equipments</t>
  </si>
  <si>
    <t>Line Cable Network</t>
  </si>
  <si>
    <t>Line Cable Network - 400kV</t>
  </si>
  <si>
    <t>Line Cable Network - 220kV</t>
  </si>
  <si>
    <t>Line Cable Network - 132kV</t>
  </si>
  <si>
    <t>Vehicles</t>
  </si>
  <si>
    <t>Furniture &amp; Fixtures</t>
  </si>
  <si>
    <t>Office Equipment</t>
  </si>
  <si>
    <t>Fully Depreciated Fixed Assets</t>
  </si>
  <si>
    <t xml:space="preserve">Spare Units/ Service units </t>
  </si>
  <si>
    <t>Total</t>
  </si>
  <si>
    <t>At the beginning of the year</t>
  </si>
  <si>
    <t>Additions during the year</t>
  </si>
  <si>
    <t>Adjustment &amp; deductions</t>
  </si>
  <si>
    <t>At the end of the year</t>
  </si>
  <si>
    <t>Remarks</t>
  </si>
  <si>
    <t>2010-11</t>
  </si>
  <si>
    <t xml:space="preserve">Form 1.1 b - ACCUMULATED DEPRECIATION </t>
  </si>
  <si>
    <t>Please fill in the required details pertaining to each year</t>
  </si>
  <si>
    <t xml:space="preserve">Grand Total </t>
  </si>
  <si>
    <t>Balance of accumulated depreciation at the beginning of the year</t>
  </si>
  <si>
    <t>Balance of arrears of depreciation at the beginning of the year</t>
  </si>
  <si>
    <t>Withdrawals  during the year</t>
  </si>
  <si>
    <t>Balance of accumulated depreciation at the end of the year</t>
  </si>
  <si>
    <t>Balance of arrears of depreciation at the end of the year</t>
  </si>
  <si>
    <t>Rate of depreciation</t>
  </si>
  <si>
    <t>Depreciation provided for the year</t>
  </si>
  <si>
    <t>Arrears of depreciation written off during the year</t>
  </si>
  <si>
    <t>Form 1.1 c - Capital Work in Progress</t>
  </si>
  <si>
    <t>This form pertains to the Capital Work in Progress</t>
  </si>
  <si>
    <t>Opening balance of CWIP</t>
  </si>
  <si>
    <t>Add: New Investment*</t>
  </si>
  <si>
    <t>Closing balance of CWIP</t>
  </si>
  <si>
    <t>Form 1.1k - CURRENT LIABILITIES</t>
  </si>
  <si>
    <t>This form refers to the total current liabilities in a particular year</t>
  </si>
  <si>
    <t>PARTICULARS</t>
  </si>
  <si>
    <t>Deposits and retentions from suppliers and contractors</t>
  </si>
  <si>
    <t>Form 10 - Non Tariff Income</t>
  </si>
  <si>
    <t>This form captures the Total Non-tariff income during a particular year</t>
  </si>
  <si>
    <t>Total Non-Tariff Income</t>
  </si>
  <si>
    <t>Form 9</t>
  </si>
  <si>
    <t>Items of Non - Tariff Income (Rs. Crs.)</t>
  </si>
  <si>
    <t>Revenue Surplus / (deficit) at Proposed tariffs</t>
  </si>
  <si>
    <t>Form 8</t>
  </si>
  <si>
    <t>Revenue Surplus / (deficit) at current tariffs</t>
  </si>
  <si>
    <t xml:space="preserve">Form 7.0 - Consumer Contributions and Grants </t>
  </si>
  <si>
    <t>This form pertains to the Contribution and Grants in a particular year</t>
  </si>
  <si>
    <t xml:space="preserve">Opening Balance at the beginning of the year </t>
  </si>
  <si>
    <t>Deductions during the year</t>
  </si>
  <si>
    <t>Closing Balance at the End of the Year</t>
  </si>
  <si>
    <t>Form 3.3 - Transmission Losses</t>
  </si>
  <si>
    <t xml:space="preserve">Lower Value of the Band </t>
  </si>
  <si>
    <t xml:space="preserve">Average Transmission Loss </t>
  </si>
  <si>
    <t xml:space="preserve">Upper Value of the Band </t>
  </si>
  <si>
    <t>Form 1.3i - Other Expenses</t>
  </si>
  <si>
    <t>Special appropriations 
(debt redemption obligation, etc)</t>
  </si>
  <si>
    <t>TOTAL OTHER EXPENSES</t>
  </si>
  <si>
    <t>Form 1.3(i) - WORKING CAPITAL</t>
  </si>
  <si>
    <t>O&amp;M Stores</t>
  </si>
  <si>
    <t>Working Capital Requirement (1/8th of total O&amp;M Expenses+ O&amp;M Stores)</t>
  </si>
  <si>
    <t>Form 1.3a - Operation and Maintenance Expenses</t>
  </si>
  <si>
    <t>This form pertains to the Operation and Maintenance Expenses during a particular year</t>
  </si>
  <si>
    <t>Code</t>
  </si>
  <si>
    <t>D-Link</t>
  </si>
  <si>
    <t>TOTAL O&amp;M Expenses</t>
  </si>
  <si>
    <r>
      <t xml:space="preserve">Line Length </t>
    </r>
    <r>
      <rPr>
        <sz val="10"/>
        <rFont val="Arial"/>
        <family val="2"/>
      </rPr>
      <t>ckt-km</t>
    </r>
  </si>
  <si>
    <t>S.No.</t>
  </si>
  <si>
    <t>Title</t>
  </si>
  <si>
    <t>Form No.</t>
  </si>
  <si>
    <t>Non-Tariff Income</t>
  </si>
  <si>
    <t>Revenue Requiement</t>
  </si>
  <si>
    <t>Regulated Rate Base</t>
  </si>
  <si>
    <t>Wheeling Revenue from Third Party/Open Access</t>
  </si>
  <si>
    <t>Balance Sheet</t>
  </si>
  <si>
    <t>Accumulated Depreciation</t>
  </si>
  <si>
    <t>Capital Work in Progress</t>
  </si>
  <si>
    <t>Investment Plan</t>
  </si>
  <si>
    <t>Voltage wise Asset Base</t>
  </si>
  <si>
    <t>New Loans</t>
  </si>
  <si>
    <t>Loans</t>
  </si>
  <si>
    <t>Foreign Currency Loans &amp; Credit</t>
  </si>
  <si>
    <t>DISCOM Contracts</t>
  </si>
  <si>
    <t>Cash Flow Statement</t>
  </si>
  <si>
    <t>Operation and Maintenance Expenses</t>
  </si>
  <si>
    <t>Working Capital</t>
  </si>
  <si>
    <t>Other Expenses</t>
  </si>
  <si>
    <t>Transmission Losses</t>
  </si>
  <si>
    <t>Contributions and Grants</t>
  </si>
  <si>
    <t>Revenue Surplus/(Deficit) at Current Tariffs</t>
  </si>
  <si>
    <t>Revenue Surplus/(Deficit) at Proposed Tariffs</t>
  </si>
  <si>
    <t>1a</t>
  </si>
  <si>
    <t>1b</t>
  </si>
  <si>
    <t>1c</t>
  </si>
  <si>
    <t>1.1(i)</t>
  </si>
  <si>
    <t>1.1a</t>
  </si>
  <si>
    <t>1.1b</t>
  </si>
  <si>
    <t>1.1c</t>
  </si>
  <si>
    <t>1.1d</t>
  </si>
  <si>
    <t>1.1e</t>
  </si>
  <si>
    <t>1.1g(i)</t>
  </si>
  <si>
    <t xml:space="preserve">1.1g </t>
  </si>
  <si>
    <t>1.1h</t>
  </si>
  <si>
    <t>1.1j</t>
  </si>
  <si>
    <t>1.1k</t>
  </si>
  <si>
    <t>1.1m</t>
  </si>
  <si>
    <t>1.1n</t>
  </si>
  <si>
    <t>1.3a</t>
  </si>
  <si>
    <t>1.3(i)</t>
  </si>
  <si>
    <t>1.3i</t>
  </si>
  <si>
    <t>Amount</t>
  </si>
  <si>
    <t>Number of Substations</t>
  </si>
  <si>
    <r>
      <t>O&amp;M Expenses per Line Length</t>
    </r>
    <r>
      <rPr>
        <vertAlign val="subscript"/>
        <sz val="10"/>
        <rFont val="Arial"/>
        <family val="2"/>
      </rPr>
      <t xml:space="preserve"> </t>
    </r>
    <r>
      <rPr>
        <sz val="10"/>
        <rFont val="Arial"/>
        <family val="2"/>
      </rPr>
      <t xml:space="preserve"> </t>
    </r>
  </si>
  <si>
    <t xml:space="preserve">O&amp;M Expenses per Sub Station </t>
  </si>
  <si>
    <t>Form : 1.2 - Cash Flow Statement</t>
  </si>
  <si>
    <t>Cash Flows from Operating Activities</t>
  </si>
  <si>
    <t xml:space="preserve">Adjustments for depreciation </t>
  </si>
  <si>
    <t>Provision for diminution in value of investments</t>
  </si>
  <si>
    <t xml:space="preserve">Adjustment for employee terminal benefits </t>
  </si>
  <si>
    <t>Operating income before working capital charges</t>
  </si>
  <si>
    <t>Decrease / (increase) in inventories</t>
  </si>
  <si>
    <t>Decrease / (increase) in miscellaneous expenditure not written off</t>
  </si>
  <si>
    <t>Interest to consumers on security deposit</t>
  </si>
  <si>
    <t>Cash generated from operations</t>
  </si>
  <si>
    <t>Interest paid</t>
  </si>
  <si>
    <t>Provision for Income Tax</t>
  </si>
  <si>
    <t>Extraordinary gain / (loss)</t>
  </si>
  <si>
    <t>Net cash from generated from operating activities</t>
  </si>
  <si>
    <t>Cash Flows from Investing Activities</t>
  </si>
  <si>
    <t>Acquisition of subsidiary</t>
  </si>
  <si>
    <t>Purchase of Fixed Assets (Including Interest capitalised)</t>
  </si>
  <si>
    <t>Reserves in Government Bonds</t>
  </si>
  <si>
    <t>Interest received</t>
  </si>
  <si>
    <t>Dividends received</t>
  </si>
  <si>
    <t>Purchase of Other Investment Activities</t>
  </si>
  <si>
    <t>Sale of Other Investment Activities</t>
  </si>
  <si>
    <t xml:space="preserve">Increase /(Decrease) in liability for Capital works </t>
  </si>
  <si>
    <t>Accumulated interest on investments through contingency reserve</t>
  </si>
  <si>
    <t>Net cash used in (from) investment activities</t>
  </si>
  <si>
    <t>Cash Flows from Financing Activities</t>
  </si>
  <si>
    <t>Proceeds from issuance of share capital</t>
  </si>
  <si>
    <t>Proceeds from Long Term Debt</t>
  </si>
  <si>
    <t>Repayment of long term debt</t>
  </si>
  <si>
    <t>Proceeds from Govt. Subsidies and Grants</t>
  </si>
  <si>
    <t>Payment of financial lease liabilities</t>
  </si>
  <si>
    <t>Interest Paid</t>
  </si>
  <si>
    <t>Dividends paid</t>
  </si>
  <si>
    <t>Net cash from (used in) financing activities</t>
  </si>
  <si>
    <t>Net Change in Cash Equivalents</t>
  </si>
  <si>
    <t>Cash and Cash Equivalents at Beginning of Year</t>
  </si>
  <si>
    <t>Cash and Cash Equivalents at End of Year</t>
  </si>
  <si>
    <t>Form 1.1n - RESERVES</t>
  </si>
  <si>
    <t>This form pertains to the total reserves in a particular year</t>
  </si>
  <si>
    <t>Contingency Reserve</t>
  </si>
  <si>
    <t>Form 1.1m - Discom Contracts</t>
  </si>
  <si>
    <t>Contracted Demand (MW)</t>
  </si>
  <si>
    <t>Coincident Peak Demand (MW)</t>
  </si>
  <si>
    <t>Non coincident Peak Demand (MW)</t>
  </si>
  <si>
    <t>Form 1.1j - CURRENT ASSETS</t>
  </si>
  <si>
    <t>This form refers to the total current assets</t>
  </si>
  <si>
    <t xml:space="preserve">Form 1.1h - FOREIGN CURRENCY LOANS &amp; CREDIT </t>
  </si>
  <si>
    <t>This form pertains to the Total Foreign Currency Loans and Debentures</t>
  </si>
  <si>
    <t>Amount in Rs. Crores</t>
  </si>
  <si>
    <t>Loan Type</t>
  </si>
  <si>
    <t>Loan Agency (Source of Loan)</t>
  </si>
  <si>
    <t>Reason for incurring Loan*</t>
  </si>
  <si>
    <t>Related Project Code</t>
  </si>
  <si>
    <t>Tenure of Loan (in years)</t>
  </si>
  <si>
    <t>Currency of Loan</t>
  </si>
  <si>
    <t>Amount sanctioned (in FCY)</t>
  </si>
  <si>
    <t>Initial Exchange Rate</t>
  </si>
  <si>
    <t>Current Exchange Rate</t>
  </si>
  <si>
    <t>Moratorium Period (in years)</t>
  </si>
  <si>
    <t>Rate of Interest</t>
  </si>
  <si>
    <t>Balance at the beginning of the year</t>
  </si>
  <si>
    <t>Amount received during the year</t>
  </si>
  <si>
    <t>Amount redeemed during the year</t>
  </si>
  <si>
    <t>Balance outstanding at the end of the year</t>
  </si>
  <si>
    <t>Interest Expense incurred during the year</t>
  </si>
  <si>
    <t>Interest Expense paid till end of the year</t>
  </si>
  <si>
    <t>Interest payment defaulted on</t>
  </si>
  <si>
    <t>Principle payment defaulted on</t>
  </si>
  <si>
    <t>Pcode</t>
  </si>
  <si>
    <t>Loan Code</t>
  </si>
  <si>
    <t>Secured Loans</t>
  </si>
  <si>
    <t>Unsecured Loans</t>
  </si>
  <si>
    <t>Year of Sanction (DD-MM-YY)</t>
  </si>
  <si>
    <t>Form 1.1g - Loans</t>
  </si>
  <si>
    <t>INDIAN LOANS &amp; DEBENTURES</t>
  </si>
  <si>
    <t>Loan Code*</t>
  </si>
  <si>
    <t>Year of incurring loan</t>
  </si>
  <si>
    <t>Bonds</t>
  </si>
  <si>
    <t>Debentures</t>
  </si>
  <si>
    <t>Funds from State Government</t>
  </si>
  <si>
    <t>Other Secured Loans</t>
  </si>
  <si>
    <t>REC</t>
  </si>
  <si>
    <t>PFC</t>
  </si>
  <si>
    <t>Unsecured Loans:</t>
  </si>
  <si>
    <t>Secured Loans:</t>
  </si>
  <si>
    <t>Grand Total:</t>
  </si>
  <si>
    <t>Federal Bank</t>
  </si>
  <si>
    <t>Canara Bank</t>
  </si>
  <si>
    <t>Oriental Bank of Commerce</t>
  </si>
  <si>
    <t>Andhra Bank</t>
  </si>
  <si>
    <t>Syndicate Bank</t>
  </si>
  <si>
    <t>Karur Vysya Bank</t>
  </si>
  <si>
    <t>Bank of Baroda</t>
  </si>
  <si>
    <t>Bank of Maharashtra</t>
  </si>
  <si>
    <t>Punjab &amp; Sind Bank</t>
  </si>
  <si>
    <t>Allahabad Bank</t>
  </si>
  <si>
    <t>Karnataka Bank Ltd.</t>
  </si>
  <si>
    <t>Corporation Bank</t>
  </si>
  <si>
    <t>Union Bank of India</t>
  </si>
  <si>
    <t>UCO Bank</t>
  </si>
  <si>
    <t>NABARD</t>
  </si>
  <si>
    <t>South Indian Bank</t>
  </si>
  <si>
    <t>Tenure of Loan 
  (in years)</t>
  </si>
  <si>
    <t>Loan Agency 
(Source of Loan)</t>
  </si>
  <si>
    <t>Material Stock and Related Accounts</t>
  </si>
  <si>
    <t>Sundry Debtors</t>
  </si>
  <si>
    <t>Cash and Bank Balances</t>
  </si>
  <si>
    <t>Loans and Advances</t>
  </si>
  <si>
    <t>Other Current Assets</t>
  </si>
  <si>
    <t>Liabilities for Capital Works</t>
  </si>
  <si>
    <t>Liability for O&amp;M Supplies</t>
  </si>
  <si>
    <t>Staff Related Liabilities</t>
  </si>
  <si>
    <t>Other Liabilities and Provisions</t>
  </si>
  <si>
    <t>Govt. of Andhra Pradesh</t>
  </si>
  <si>
    <t>Form 1.1d - INVESTMENT PLAN</t>
  </si>
  <si>
    <t xml:space="preserve">This form captures investments as planned and actually incurred </t>
  </si>
  <si>
    <t>Project Details</t>
  </si>
  <si>
    <t>PLANNED CAPITAL EXPENDITURE</t>
  </si>
  <si>
    <t xml:space="preserve">SOURCE OF FINANCING </t>
  </si>
  <si>
    <t>Investments proposed for the year</t>
  </si>
  <si>
    <t>Investments incurred in the year</t>
  </si>
  <si>
    <t>CUMULATIVE EXPENDITURE</t>
  </si>
  <si>
    <t>Cumulative progress (Year on year)</t>
  </si>
  <si>
    <t>Project Code*</t>
  </si>
  <si>
    <t>Project Title</t>
  </si>
  <si>
    <t>Project Purpose**</t>
  </si>
  <si>
    <t>Base Cost</t>
  </si>
  <si>
    <t>Contigency</t>
  </si>
  <si>
    <t>IDC</t>
  </si>
  <si>
    <t>Duties</t>
  </si>
  <si>
    <t>Taxes</t>
  </si>
  <si>
    <t>Expense capitalised</t>
  </si>
  <si>
    <t>Internal Accrual Component of capex in year</t>
  </si>
  <si>
    <t>Equity Component of capex in year</t>
  </si>
  <si>
    <t>Debt Component of capex in year</t>
  </si>
  <si>
    <t xml:space="preserve">Annual </t>
  </si>
  <si>
    <t>Loan Amount</t>
  </si>
  <si>
    <t>Interest Rate</t>
  </si>
  <si>
    <t>Moratorium Period</t>
  </si>
  <si>
    <t>Repayment Period</t>
  </si>
  <si>
    <t>Loan Source</t>
  </si>
  <si>
    <t>Proposed investment in the year (Rs Cr)</t>
  </si>
  <si>
    <t>Proposed IDC</t>
  </si>
  <si>
    <t>Proposed other expense</t>
  </si>
  <si>
    <t>Percentage capitalisation</t>
  </si>
  <si>
    <t>Actual investment in the year (Rs Cr)</t>
  </si>
  <si>
    <t>IDC Incurred</t>
  </si>
  <si>
    <t>Other expense incurred</t>
  </si>
  <si>
    <t>Total Cost</t>
  </si>
  <si>
    <t>Form 1.1(e)  - Voltage wise asset base</t>
  </si>
  <si>
    <t xml:space="preserve">This form refers to the gross and net asset base calculation </t>
  </si>
  <si>
    <t>Particulars*</t>
  </si>
  <si>
    <t>400 kV</t>
  </si>
  <si>
    <t>220 kV</t>
  </si>
  <si>
    <t>132 kV</t>
  </si>
  <si>
    <t>* Please provide voltage wise asset base details</t>
  </si>
  <si>
    <t>Form1.1 g(i) - New Loans</t>
  </si>
  <si>
    <t>Purpose</t>
  </si>
  <si>
    <t>Status</t>
  </si>
  <si>
    <t>Agency</t>
  </si>
  <si>
    <t>Agreed Interest Rate</t>
  </si>
  <si>
    <t>Moratorium Period 
(Years)</t>
  </si>
  <si>
    <t>Repayment period
(Years)</t>
  </si>
  <si>
    <t>Project Completion date 
 (DD-MM-YY)</t>
  </si>
  <si>
    <t>Project Start Date (DD-MM-YY)</t>
  </si>
  <si>
    <t>Total (i)+(ii) :</t>
  </si>
  <si>
    <t>(Rs. in crores)</t>
  </si>
  <si>
    <t>Liability for expenses</t>
  </si>
  <si>
    <t>Accrued liability amounts relating to borrowings</t>
  </si>
  <si>
    <t>Interest on Staff loans and advances</t>
  </si>
  <si>
    <t>Income from investments</t>
  </si>
  <si>
    <t>Interest on Contingency Reserve investments</t>
  </si>
  <si>
    <t>ICICI</t>
  </si>
  <si>
    <t>Tamilnadu Mercantile Bank</t>
  </si>
  <si>
    <t>(Rs.in crores)</t>
  </si>
  <si>
    <t>Capital Reserve</t>
  </si>
  <si>
    <t>Others (Deferred Tax Liability)</t>
  </si>
  <si>
    <t>(i) Interest During Construction</t>
  </si>
  <si>
    <t>OTHERS</t>
  </si>
  <si>
    <t>Other Debits</t>
  </si>
  <si>
    <t>Prior Period Items</t>
  </si>
  <si>
    <t>Interest expense</t>
  </si>
  <si>
    <t>Adjustments for foreign exchange loss/(gain)</t>
  </si>
  <si>
    <t>Less:Non-Tariff Income (if any)</t>
  </si>
  <si>
    <t>Other Finance Charges</t>
  </si>
  <si>
    <t>Project Start Date
 (DD-MM-YY)</t>
  </si>
  <si>
    <t>O&amp;M Expenditure</t>
  </si>
  <si>
    <t>FY 2014-15</t>
  </si>
  <si>
    <t>FY 2015-16</t>
  </si>
  <si>
    <t>FY 2016-17</t>
  </si>
  <si>
    <t>FY 2017-18</t>
  </si>
  <si>
    <t>Lines (Circuit Kilometers)</t>
  </si>
  <si>
    <t>Base Year O&amp;M Cost for Lines (Rs./KM)</t>
  </si>
  <si>
    <t>Base Year O&amp;M Cost for Substations (Rs./Bay)</t>
  </si>
  <si>
    <t>Indexation Factor Computation:</t>
  </si>
  <si>
    <t>CPI-Industrial Worker Inflation assumed during MYT Period</t>
  </si>
  <si>
    <t>R&amp;M and A&amp;G Cost as % of O&amp;M Cost</t>
  </si>
  <si>
    <t>WPI-Transmission Goods Inflation assued during MYT Period</t>
  </si>
  <si>
    <t>O&amp;M Inflation Factor for MYT Control Period (Index)</t>
  </si>
  <si>
    <t>O&amp;M Cost for Lines (Rs./KM) [(Base Year * (1+Index)]</t>
  </si>
  <si>
    <t>O&amp;M Cost for Sub-stations (Rs./Bay) [(Base Year * (1+Index)]</t>
  </si>
  <si>
    <t>O&amp;M Cost (in crores)</t>
  </si>
  <si>
    <t>Employees Cost (Rs. in crores)</t>
  </si>
  <si>
    <t>Admn. &amp; General Expenses (Rs. in Crores)</t>
  </si>
  <si>
    <t>Repairs &amp; Maintenance (Rs. in Crores)</t>
  </si>
  <si>
    <t>O&amp;M Cost (%) for Lines</t>
  </si>
  <si>
    <t>O&amp;M Cost (%) for Sub-Stations</t>
  </si>
  <si>
    <t>Base Year O&amp;M Costs for Lines (Rs. in crores)</t>
  </si>
  <si>
    <t>Base Year O&amp;M Costs for Sub-stations (Rs. in crores)</t>
  </si>
  <si>
    <t>No. of Substation Bays (Nos.)</t>
  </si>
  <si>
    <t>Employees Cost as % of O&amp;M Cost</t>
  </si>
  <si>
    <t>Dena Bank</t>
  </si>
  <si>
    <t>(Rs. in Crores)</t>
  </si>
  <si>
    <t>Aggregate Revenue Requirement</t>
  </si>
  <si>
    <t>Revenue from current tariffs</t>
  </si>
  <si>
    <t>Revenue Surplus/(Deficit) at current tariffs</t>
  </si>
  <si>
    <t>Revenue from proposed tariffs</t>
  </si>
  <si>
    <t>Non Tariff Income</t>
  </si>
  <si>
    <t xml:space="preserve">Revenue Surplus / (deficit) at proposed tariffs </t>
  </si>
  <si>
    <t>4.15
 +/-0.3</t>
  </si>
  <si>
    <t>4.10 
+/-0.3</t>
  </si>
  <si>
    <t>4.05 
+/-0.3</t>
  </si>
  <si>
    <t>4.00 
+/-0.3</t>
  </si>
  <si>
    <t>3.95 
+/-0.3</t>
  </si>
  <si>
    <t>Form 1.0 Revenue Requirement</t>
  </si>
  <si>
    <t>Revenue (Rs. in Crores)</t>
  </si>
  <si>
    <t>Waiver Requested</t>
  </si>
  <si>
    <t>Decrease/(increase) in trade and other receivables</t>
  </si>
  <si>
    <t>FY 2019-20</t>
  </si>
  <si>
    <t>FY 2020-21</t>
  </si>
  <si>
    <t>FY 2021-22</t>
  </si>
  <si>
    <t>FY 2022-23</t>
  </si>
  <si>
    <t>FY 2023-24</t>
  </si>
  <si>
    <t>2018-19
 (Base Year)</t>
  </si>
  <si>
    <t>2019-20</t>
  </si>
  <si>
    <t>2020-21</t>
  </si>
  <si>
    <t>2021-22</t>
  </si>
  <si>
    <t>2022-23</t>
  </si>
  <si>
    <t>2023-24</t>
  </si>
  <si>
    <t>2018-19 (Base Year)</t>
  </si>
  <si>
    <t>2018-19 
(Base Year)</t>
  </si>
  <si>
    <t>TS SPDCL</t>
  </si>
  <si>
    <t>TS NPDCL</t>
  </si>
  <si>
    <t>Reorganisation Resultant Reserve</t>
  </si>
  <si>
    <t>Restructuring Reserve</t>
  </si>
  <si>
    <t>Contributions, Grants and Subsidies towards capital assets</t>
  </si>
  <si>
    <t>Liability towards Pension, Gratuity and Leave Encashment</t>
  </si>
  <si>
    <t>2017-18 (Provl.)</t>
  </si>
  <si>
    <t>Increase in Lines &amp; Sub-Station Bays</t>
  </si>
  <si>
    <t>Line length (CKM)</t>
  </si>
  <si>
    <t>Sub-Station Bays</t>
  </si>
  <si>
    <t>Addition</t>
  </si>
  <si>
    <t>% of Increase in O&amp;M Cost</t>
  </si>
  <si>
    <t>O&amp;M Cost for 4th Control Period (FY 2019-20 to FY 2023-24) - Transmission</t>
  </si>
  <si>
    <t>Consumer Contributions &amp; Grants towards cost of capital assets</t>
  </si>
  <si>
    <t>Less : Investment Capitalised</t>
  </si>
  <si>
    <t>Add: Capitalisation of Expenses</t>
  </si>
  <si>
    <t>(ii) Other Expenses Capitalised</t>
  </si>
  <si>
    <t>Total Assets :</t>
  </si>
  <si>
    <t>Total Liabilities :</t>
  </si>
  <si>
    <t>Supervision Charges</t>
  </si>
  <si>
    <t>Return on Equity @14% on 25% of RRB</t>
  </si>
  <si>
    <t>Interest &amp; Finance Charges (Net) - Actuals</t>
  </si>
  <si>
    <t>Cost of Debt @11% on 75% of RRB - Projections</t>
  </si>
  <si>
    <t>Amortisation of Consumer Contribtions, Grants towards cost of fixed assets - LIS Assets</t>
  </si>
  <si>
    <t>Amortisation of Consumer Contribtions, Grants towards cost of fixed assets - Other than LIS Assets</t>
  </si>
  <si>
    <t>Income from sale of scrap etc.,</t>
  </si>
  <si>
    <t>Total Revenue Requirement transferred to 
Retail supply business</t>
  </si>
  <si>
    <t>(Rs. In Crores)</t>
  </si>
  <si>
    <t>FY 2013-14</t>
  </si>
  <si>
    <t>United Bank of India</t>
  </si>
  <si>
    <t>GROSS O&amp;M EXPENDITURE</t>
  </si>
  <si>
    <t>O&amp;M EXPENSES CAPITALISED</t>
  </si>
  <si>
    <t>O&amp;M EXPENSES CHARGED</t>
  </si>
  <si>
    <t>Total:</t>
  </si>
  <si>
    <t xml:space="preserve">O&amp;M expenses </t>
  </si>
  <si>
    <t>Return on Capital Employed (ROCE)</t>
  </si>
  <si>
    <t>Govt. of Telangana</t>
  </si>
  <si>
    <t>3 Years</t>
  </si>
  <si>
    <t>1 Year</t>
  </si>
  <si>
    <t>-</t>
  </si>
  <si>
    <t>2 Years</t>
  </si>
  <si>
    <t>2-3 Years</t>
  </si>
  <si>
    <t>1-3 Years</t>
  </si>
  <si>
    <t>13 Years</t>
  </si>
  <si>
    <t>15 Years</t>
  </si>
  <si>
    <t>7 Years</t>
  </si>
  <si>
    <t>10 Years</t>
  </si>
  <si>
    <t>9 Years</t>
  </si>
  <si>
    <t>12 Years</t>
  </si>
  <si>
    <t>8-12.50%</t>
  </si>
  <si>
    <t>8.25-12.50%</t>
  </si>
  <si>
    <t>Reactor Scheme - III</t>
  </si>
  <si>
    <t>KTPP System Improvement Scheme</t>
  </si>
  <si>
    <t>To be Sanctioned</t>
  </si>
  <si>
    <t>Sanctioned</t>
  </si>
  <si>
    <t>Capital Works</t>
  </si>
  <si>
    <t>Yadadri Power Evacuation Scheme</t>
  </si>
  <si>
    <t>Telecom Schemes</t>
  </si>
  <si>
    <t>Renovation &amp; Modernisation Scheme</t>
  </si>
  <si>
    <t>220/132KV Schmes</t>
  </si>
  <si>
    <t>220/132KV Schemes</t>
  </si>
  <si>
    <t>Increase/(Decrease) in Current Liabilities</t>
  </si>
  <si>
    <t>Decrease / (increase) in other current assets</t>
  </si>
  <si>
    <t>Profit before Tax</t>
  </si>
  <si>
    <t>Retained Surplus</t>
  </si>
  <si>
    <r>
      <t>Less:</t>
    </r>
    <r>
      <rPr>
        <sz val="10"/>
        <color theme="1"/>
        <rFont val="Arial"/>
        <family val="2"/>
      </rPr>
      <t xml:space="preserve"> Accumulated Depreciation</t>
    </r>
  </si>
  <si>
    <t>FY 2018-19 (Base Year)</t>
  </si>
  <si>
    <t>2018-19(Base Year)</t>
  </si>
  <si>
    <t>Errection of 132KV lines for making LILO shapurnagar DC line at 132KV Kolanpak</t>
  </si>
  <si>
    <t>Raydurg Systems improvement Scheme</t>
  </si>
  <si>
    <t>Counterpart funding for OPGW based communication</t>
  </si>
  <si>
    <t>Errection of 220/132KV Substation at Ammavaripet</t>
  </si>
  <si>
    <t>Errection of 132/33KV SS in various districts of Telangana &amp; Augmentation of PTR capacities for various SS</t>
  </si>
  <si>
    <t>Enhancement of loan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</si>
</sst>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0.0"/>
    <numFmt numFmtId="165" formatCode="0.000"/>
    <numFmt numFmtId="166" formatCode="0.00_);\(0.00\)"/>
    <numFmt numFmtId="167" formatCode="0.000%"/>
  </numFmts>
  <fonts count="27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u/>
      <sz val="10"/>
      <name val="Arial"/>
      <family val="2"/>
    </font>
    <font>
      <vertAlign val="subscript"/>
      <sz val="10"/>
      <name val="Arial"/>
      <family val="2"/>
    </font>
    <font>
      <b/>
      <i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color indexed="10"/>
      <name val="Arial"/>
      <family val="2"/>
    </font>
    <font>
      <b/>
      <u/>
      <sz val="12"/>
      <name val="Arial"/>
      <family val="2"/>
    </font>
    <font>
      <b/>
      <sz val="10"/>
      <color indexed="10"/>
      <name val="Arial"/>
      <family val="2"/>
    </font>
    <font>
      <b/>
      <sz val="10"/>
      <color indexed="10"/>
      <name val="Arial"/>
      <family val="2"/>
    </font>
    <font>
      <b/>
      <u/>
      <sz val="14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20"/>
      <name val="Arial"/>
      <family val="2"/>
    </font>
    <font>
      <sz val="10"/>
      <color rgb="FF00B0F0"/>
      <name val="Arial"/>
      <family val="2"/>
    </font>
    <font>
      <sz val="10"/>
      <color rgb="FF00B050"/>
      <name val="Arial"/>
      <family val="2"/>
    </font>
    <font>
      <sz val="10"/>
      <color rgb="FFFF0000"/>
      <name val="Arial"/>
      <family val="2"/>
    </font>
    <font>
      <b/>
      <i/>
      <u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" fillId="0" borderId="0">
      <alignment vertical="center"/>
    </xf>
    <xf numFmtId="9" fontId="1" fillId="0" borderId="0" applyFont="0" applyFill="0" applyBorder="0" applyAlignment="0" applyProtection="0"/>
  </cellStyleXfs>
  <cellXfs count="311">
    <xf numFmtId="0" fontId="0" fillId="0" borderId="0" xfId="0"/>
    <xf numFmtId="2" fontId="1" fillId="0" borderId="0" xfId="2" applyNumberFormat="1">
      <alignment vertical="center"/>
    </xf>
    <xf numFmtId="0" fontId="0" fillId="0" borderId="0" xfId="0" applyBorder="1"/>
    <xf numFmtId="0" fontId="1" fillId="0" borderId="1" xfId="2" applyBorder="1">
      <alignment vertical="center"/>
    </xf>
    <xf numFmtId="0" fontId="0" fillId="0" borderId="1" xfId="0" applyBorder="1"/>
    <xf numFmtId="2" fontId="2" fillId="0" borderId="1" xfId="0" applyNumberFormat="1" applyFont="1" applyBorder="1"/>
    <xf numFmtId="2" fontId="2" fillId="0" borderId="0" xfId="0" applyNumberFormat="1" applyFont="1"/>
    <xf numFmtId="2" fontId="4" fillId="0" borderId="0" xfId="0" applyNumberFormat="1" applyFont="1"/>
    <xf numFmtId="2" fontId="2" fillId="0" borderId="1" xfId="0" applyNumberFormat="1" applyFont="1" applyFill="1" applyBorder="1"/>
    <xf numFmtId="2" fontId="0" fillId="0" borderId="1" xfId="0" applyNumberFormat="1" applyBorder="1"/>
    <xf numFmtId="0" fontId="2" fillId="0" borderId="0" xfId="0" applyFont="1"/>
    <xf numFmtId="0" fontId="4" fillId="0" borderId="0" xfId="0" applyFont="1"/>
    <xf numFmtId="0" fontId="0" fillId="0" borderId="0" xfId="0" applyAlignment="1">
      <alignment horizontal="center"/>
    </xf>
    <xf numFmtId="0" fontId="2" fillId="0" borderId="1" xfId="0" applyFont="1" applyFill="1" applyBorder="1"/>
    <xf numFmtId="0" fontId="4" fillId="0" borderId="1" xfId="0" applyFont="1" applyFill="1" applyBorder="1" applyAlignment="1">
      <alignment horizontal="left" indent="1"/>
    </xf>
    <xf numFmtId="0" fontId="2" fillId="0" borderId="1" xfId="0" applyFont="1" applyFill="1" applyBorder="1" applyAlignment="1">
      <alignment horizontal="left"/>
    </xf>
    <xf numFmtId="2" fontId="0" fillId="0" borderId="0" xfId="0" applyNumberFormat="1"/>
    <xf numFmtId="2" fontId="0" fillId="0" borderId="1" xfId="0" applyNumberFormat="1" applyBorder="1" applyAlignment="1">
      <alignment vertical="center"/>
    </xf>
    <xf numFmtId="0" fontId="2" fillId="0" borderId="1" xfId="0" applyFont="1" applyBorder="1"/>
    <xf numFmtId="2" fontId="2" fillId="0" borderId="0" xfId="0" applyNumberFormat="1" applyFont="1" applyAlignment="1"/>
    <xf numFmtId="2" fontId="2" fillId="0" borderId="0" xfId="0" applyNumberFormat="1" applyFont="1" applyFill="1" applyBorder="1" applyAlignment="1" applyProtection="1">
      <alignment horizontal="left" vertical="center"/>
    </xf>
    <xf numFmtId="0" fontId="2" fillId="0" borderId="1" xfId="0" quotePrefix="1" applyFont="1" applyBorder="1" applyAlignment="1">
      <alignment horizontal="left"/>
    </xf>
    <xf numFmtId="49" fontId="4" fillId="0" borderId="1" xfId="0" applyNumberFormat="1" applyFont="1" applyFill="1" applyBorder="1" applyAlignment="1">
      <alignment horizontal="left" indent="1"/>
    </xf>
    <xf numFmtId="0" fontId="2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2" fillId="0" borderId="0" xfId="0" applyFont="1" applyAlignment="1"/>
    <xf numFmtId="2" fontId="4" fillId="0" borderId="0" xfId="0" applyNumberFormat="1" applyFont="1" applyAlignment="1">
      <alignment horizontal="left"/>
    </xf>
    <xf numFmtId="0" fontId="2" fillId="0" borderId="2" xfId="0" quotePrefix="1" applyFont="1" applyBorder="1" applyAlignment="1">
      <alignment horizontal="left"/>
    </xf>
    <xf numFmtId="0" fontId="0" fillId="2" borderId="1" xfId="0" applyFill="1" applyBorder="1"/>
    <xf numFmtId="2" fontId="2" fillId="2" borderId="1" xfId="0" applyNumberFormat="1" applyFont="1" applyFill="1" applyBorder="1"/>
    <xf numFmtId="2" fontId="4" fillId="0" borderId="0" xfId="0" applyNumberFormat="1" applyFont="1" applyAlignment="1"/>
    <xf numFmtId="0" fontId="4" fillId="0" borderId="1" xfId="0" applyFont="1" applyBorder="1"/>
    <xf numFmtId="0" fontId="7" fillId="0" borderId="1" xfId="0" applyFont="1" applyBorder="1"/>
    <xf numFmtId="0" fontId="2" fillId="0" borderId="1" xfId="0" applyFont="1" applyFill="1" applyBorder="1" applyAlignment="1">
      <alignment vertical="center"/>
    </xf>
    <xf numFmtId="2" fontId="4" fillId="0" borderId="1" xfId="0" applyNumberFormat="1" applyFont="1" applyFill="1" applyBorder="1" applyAlignment="1"/>
    <xf numFmtId="0" fontId="4" fillId="0" borderId="3" xfId="0" applyFont="1" applyBorder="1"/>
    <xf numFmtId="2" fontId="4" fillId="0" borderId="1" xfId="0" applyNumberFormat="1" applyFont="1" applyBorder="1"/>
    <xf numFmtId="2" fontId="4" fillId="0" borderId="1" xfId="0" applyNumberFormat="1" applyFont="1" applyBorder="1" applyAlignment="1"/>
    <xf numFmtId="2" fontId="2" fillId="2" borderId="1" xfId="0" applyNumberFormat="1" applyFont="1" applyFill="1" applyBorder="1" applyAlignment="1">
      <alignment horizontal="right"/>
    </xf>
    <xf numFmtId="2" fontId="2" fillId="0" borderId="0" xfId="2" applyNumberFormat="1" applyFont="1">
      <alignment vertical="center"/>
    </xf>
    <xf numFmtId="2" fontId="4" fillId="0" borderId="0" xfId="2" applyNumberFormat="1" applyFont="1">
      <alignment vertical="center"/>
    </xf>
    <xf numFmtId="2" fontId="4" fillId="0" borderId="1" xfId="2" applyNumberFormat="1" applyFont="1" applyBorder="1" applyAlignment="1"/>
    <xf numFmtId="0" fontId="4" fillId="0" borderId="0" xfId="2" applyFont="1">
      <alignment vertical="center"/>
    </xf>
    <xf numFmtId="2" fontId="2" fillId="2" borderId="1" xfId="2" applyNumberFormat="1" applyFont="1" applyFill="1" applyBorder="1" applyAlignment="1">
      <alignment horizontal="center"/>
    </xf>
    <xf numFmtId="0" fontId="0" fillId="0" borderId="1" xfId="0" applyBorder="1" applyAlignment="1">
      <alignment horizontal="left" indent="1"/>
    </xf>
    <xf numFmtId="0" fontId="2" fillId="0" borderId="1" xfId="0" applyFont="1" applyBorder="1" applyAlignment="1"/>
    <xf numFmtId="2" fontId="0" fillId="0" borderId="0" xfId="0" applyNumberFormat="1" applyAlignment="1">
      <alignment horizontal="center" vertical="center"/>
    </xf>
    <xf numFmtId="2" fontId="0" fillId="0" borderId="1" xfId="0" applyNumberFormat="1" applyFill="1" applyBorder="1" applyAlignment="1">
      <alignment horizontal="center" vertical="center"/>
    </xf>
    <xf numFmtId="2" fontId="2" fillId="0" borderId="1" xfId="0" applyNumberFormat="1" applyFont="1" applyFill="1" applyBorder="1" applyAlignment="1" applyProtection="1">
      <alignment horizontal="center" vertical="center" wrapText="1"/>
    </xf>
    <xf numFmtId="2" fontId="2" fillId="0" borderId="1" xfId="0" applyNumberFormat="1" applyFont="1" applyFill="1" applyBorder="1" applyAlignment="1">
      <alignment horizontal="center"/>
    </xf>
    <xf numFmtId="0" fontId="2" fillId="0" borderId="0" xfId="2" applyFont="1">
      <alignment vertical="center"/>
    </xf>
    <xf numFmtId="0" fontId="1" fillId="0" borderId="0" xfId="2">
      <alignment vertical="center"/>
    </xf>
    <xf numFmtId="0" fontId="2" fillId="2" borderId="1" xfId="2" applyFont="1" applyFill="1" applyBorder="1" applyAlignment="1">
      <alignment horizontal="center" vertical="center"/>
    </xf>
    <xf numFmtId="2" fontId="2" fillId="2" borderId="1" xfId="2" applyNumberFormat="1" applyFont="1" applyFill="1" applyBorder="1" applyAlignment="1">
      <alignment horizontal="center" vertical="center" wrapText="1"/>
    </xf>
    <xf numFmtId="2" fontId="4" fillId="0" borderId="1" xfId="2" applyNumberFormat="1" applyFont="1" applyBorder="1" applyAlignment="1">
      <alignment wrapText="1"/>
    </xf>
    <xf numFmtId="2" fontId="2" fillId="2" borderId="1" xfId="2" applyNumberFormat="1" applyFont="1" applyFill="1" applyBorder="1" applyAlignment="1">
      <alignment horizontal="right"/>
    </xf>
    <xf numFmtId="2" fontId="2" fillId="0" borderId="0" xfId="0" applyNumberFormat="1" applyFont="1" applyAlignment="1">
      <alignment horizontal="left"/>
    </xf>
    <xf numFmtId="2" fontId="2" fillId="0" borderId="0" xfId="0" applyNumberFormat="1" applyFont="1" applyAlignment="1">
      <alignment horizontal="righ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164" fontId="0" fillId="0" borderId="1" xfId="0" applyNumberFormat="1" applyBorder="1" applyAlignment="1">
      <alignment horizontal="center"/>
    </xf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165" fontId="4" fillId="0" borderId="1" xfId="2" quotePrefix="1" applyNumberFormat="1" applyFont="1" applyFill="1" applyBorder="1" applyAlignment="1">
      <alignment horizontal="center"/>
    </xf>
    <xf numFmtId="2" fontId="1" fillId="0" borderId="1" xfId="2" applyNumberFormat="1" applyFill="1" applyBorder="1" applyProtection="1">
      <alignment vertical="center"/>
      <protection locked="0"/>
    </xf>
    <xf numFmtId="0" fontId="4" fillId="0" borderId="1" xfId="2" applyFont="1" applyFill="1" applyBorder="1" applyAlignment="1">
      <alignment horizontal="left" vertical="center"/>
    </xf>
    <xf numFmtId="2" fontId="1" fillId="0" borderId="1" xfId="2" applyNumberFormat="1" applyFont="1" applyFill="1" applyBorder="1" applyAlignment="1" applyProtection="1">
      <alignment horizontal="right" vertical="center"/>
      <protection locked="0"/>
    </xf>
    <xf numFmtId="0" fontId="4" fillId="0" borderId="1" xfId="2" applyFont="1" applyFill="1" applyBorder="1" applyAlignment="1">
      <alignment horizontal="left" vertical="center" indent="2"/>
    </xf>
    <xf numFmtId="0" fontId="2" fillId="0" borderId="1" xfId="2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vertical="center" wrapText="1"/>
    </xf>
    <xf numFmtId="0" fontId="4" fillId="0" borderId="0" xfId="0" applyNumberFormat="1" applyFont="1"/>
    <xf numFmtId="0" fontId="7" fillId="0" borderId="0" xfId="0" applyFont="1"/>
    <xf numFmtId="0" fontId="1" fillId="0" borderId="1" xfId="2" applyFill="1" applyBorder="1" applyAlignment="1">
      <alignment horizontal="center" vertical="center"/>
    </xf>
    <xf numFmtId="2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2" fontId="2" fillId="0" borderId="1" xfId="2" applyNumberFormat="1" applyFont="1" applyFill="1" applyBorder="1" applyAlignment="1">
      <alignment horizontal="center" vertical="center" wrapText="1"/>
    </xf>
    <xf numFmtId="2" fontId="9" fillId="2" borderId="4" xfId="0" applyNumberFormat="1" applyFont="1" applyFill="1" applyBorder="1"/>
    <xf numFmtId="0" fontId="0" fillId="0" borderId="5" xfId="0" applyBorder="1"/>
    <xf numFmtId="0" fontId="0" fillId="0" borderId="2" xfId="0" applyBorder="1"/>
    <xf numFmtId="2" fontId="2" fillId="3" borderId="1" xfId="0" applyNumberFormat="1" applyFont="1" applyFill="1" applyBorder="1"/>
    <xf numFmtId="2" fontId="2" fillId="2" borderId="4" xfId="0" applyNumberFormat="1" applyFont="1" applyFill="1" applyBorder="1"/>
    <xf numFmtId="2" fontId="4" fillId="0" borderId="1" xfId="0" applyNumberFormat="1" applyFont="1" applyBorder="1" applyAlignment="1">
      <alignment horizontal="left"/>
    </xf>
    <xf numFmtId="2" fontId="4" fillId="0" borderId="1" xfId="0" applyNumberFormat="1" applyFont="1" applyFill="1" applyBorder="1"/>
    <xf numFmtId="0" fontId="2" fillId="0" borderId="0" xfId="0" applyFont="1" applyBorder="1" applyAlignment="1">
      <alignment horizontal="left"/>
    </xf>
    <xf numFmtId="2" fontId="2" fillId="0" borderId="0" xfId="0" applyNumberFormat="1" applyFont="1" applyBorder="1" applyAlignment="1">
      <alignment horizontal="left"/>
    </xf>
    <xf numFmtId="0" fontId="11" fillId="0" borderId="0" xfId="0" applyFont="1"/>
    <xf numFmtId="0" fontId="2" fillId="0" borderId="1" xfId="0" applyFont="1" applyBorder="1" applyAlignment="1">
      <alignment horizontal="center"/>
    </xf>
    <xf numFmtId="2" fontId="4" fillId="0" borderId="0" xfId="0" applyNumberFormat="1" applyFont="1" applyAlignment="1">
      <alignment wrapText="1"/>
    </xf>
    <xf numFmtId="0" fontId="12" fillId="2" borderId="1" xfId="0" applyFont="1" applyFill="1" applyBorder="1"/>
    <xf numFmtId="0" fontId="12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13" fillId="0" borderId="1" xfId="0" applyFont="1" applyBorder="1"/>
    <xf numFmtId="0" fontId="2" fillId="0" borderId="0" xfId="0" applyNumberFormat="1" applyFont="1" applyAlignment="1"/>
    <xf numFmtId="0" fontId="2" fillId="0" borderId="0" xfId="0" applyNumberFormat="1" applyFont="1" applyAlignment="1">
      <alignment horizontal="left"/>
    </xf>
    <xf numFmtId="0" fontId="4" fillId="0" borderId="0" xfId="0" applyNumberFormat="1" applyFont="1" applyAlignment="1"/>
    <xf numFmtId="0" fontId="0" fillId="0" borderId="0" xfId="0" applyFill="1" applyBorder="1" applyAlignment="1">
      <alignment horizontal="left"/>
    </xf>
    <xf numFmtId="0" fontId="2" fillId="0" borderId="0" xfId="0" applyFont="1" applyBorder="1" applyAlignment="1">
      <alignment horizontal="left" vertical="center"/>
    </xf>
    <xf numFmtId="17" fontId="0" fillId="0" borderId="1" xfId="0" applyNumberFormat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 vertical="center" wrapText="1"/>
    </xf>
    <xf numFmtId="2" fontId="2" fillId="2" borderId="1" xfId="2" applyNumberFormat="1" applyFont="1" applyFill="1" applyBorder="1" applyAlignment="1">
      <alignment horizontal="center" vertical="center"/>
    </xf>
    <xf numFmtId="2" fontId="2" fillId="2" borderId="3" xfId="2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2" fontId="2" fillId="2" borderId="1" xfId="0" applyNumberFormat="1" applyFont="1" applyFill="1" applyBorder="1" applyAlignment="1" applyProtection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10" fontId="5" fillId="2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/>
    </xf>
    <xf numFmtId="2" fontId="10" fillId="2" borderId="1" xfId="0" applyNumberFormat="1" applyFont="1" applyFill="1" applyBorder="1" applyAlignment="1" applyProtection="1">
      <alignment horizontal="center" vertical="center" wrapText="1"/>
    </xf>
    <xf numFmtId="10" fontId="10" fillId="2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Fill="1"/>
    <xf numFmtId="2" fontId="10" fillId="2" borderId="1" xfId="0" applyNumberFormat="1" applyFont="1" applyFill="1" applyBorder="1" applyAlignment="1">
      <alignment horizontal="center" vertical="center" wrapText="1"/>
    </xf>
    <xf numFmtId="2" fontId="10" fillId="2" borderId="1" xfId="0" applyNumberFormat="1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vertical="center" wrapText="1"/>
    </xf>
    <xf numFmtId="2" fontId="12" fillId="0" borderId="1" xfId="0" applyNumberFormat="1" applyFont="1" applyBorder="1"/>
    <xf numFmtId="2" fontId="15" fillId="0" borderId="1" xfId="0" applyNumberFormat="1" applyFont="1" applyBorder="1" applyAlignment="1">
      <alignment vertical="center"/>
    </xf>
    <xf numFmtId="2" fontId="14" fillId="0" borderId="1" xfId="0" applyNumberFormat="1" applyFont="1" applyFill="1" applyBorder="1"/>
    <xf numFmtId="2" fontId="2" fillId="2" borderId="1" xfId="0" applyNumberFormat="1" applyFont="1" applyFill="1" applyBorder="1" applyAlignment="1">
      <alignment horizontal="right" vertical="center"/>
    </xf>
    <xf numFmtId="2" fontId="2" fillId="2" borderId="1" xfId="2" applyNumberFormat="1" applyFont="1" applyFill="1" applyBorder="1" applyAlignment="1">
      <alignment vertical="center"/>
    </xf>
    <xf numFmtId="43" fontId="2" fillId="2" borderId="1" xfId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0" fillId="0" borderId="1" xfId="0" applyBorder="1" applyAlignment="1"/>
    <xf numFmtId="0" fontId="0" fillId="0" borderId="0" xfId="0" applyFill="1" applyBorder="1"/>
    <xf numFmtId="2" fontId="1" fillId="0" borderId="1" xfId="0" applyNumberFormat="1" applyFont="1" applyBorder="1" applyAlignment="1">
      <alignment vertical="center"/>
    </xf>
    <xf numFmtId="1" fontId="0" fillId="0" borderId="1" xfId="0" applyNumberFormat="1" applyBorder="1"/>
    <xf numFmtId="9" fontId="0" fillId="0" borderId="0" xfId="0" applyNumberFormat="1"/>
    <xf numFmtId="0" fontId="2" fillId="0" borderId="1" xfId="0" applyFont="1" applyBorder="1" applyAlignment="1">
      <alignment vertical="center"/>
    </xf>
    <xf numFmtId="0" fontId="4" fillId="0" borderId="1" xfId="0" applyFont="1" applyFill="1" applyBorder="1" applyAlignment="1">
      <alignment horizontal="left" vertical="center"/>
    </xf>
    <xf numFmtId="10" fontId="0" fillId="0" borderId="1" xfId="0" applyNumberFormat="1" applyBorder="1" applyAlignment="1">
      <alignment vertical="center"/>
    </xf>
    <xf numFmtId="0" fontId="0" fillId="0" borderId="1" xfId="0" applyFill="1" applyBorder="1" applyAlignment="1">
      <alignment horizontal="left" vertical="center"/>
    </xf>
    <xf numFmtId="10" fontId="2" fillId="0" borderId="1" xfId="0" applyNumberFormat="1" applyFont="1" applyBorder="1" applyAlignment="1">
      <alignment vertical="center"/>
    </xf>
    <xf numFmtId="0" fontId="0" fillId="0" borderId="0" xfId="0" applyBorder="1" applyAlignment="1">
      <alignment vertical="center"/>
    </xf>
    <xf numFmtId="2" fontId="2" fillId="0" borderId="1" xfId="0" applyNumberFormat="1" applyFont="1" applyBorder="1" applyAlignment="1">
      <alignment vertical="center"/>
    </xf>
    <xf numFmtId="2" fontId="0" fillId="0" borderId="0" xfId="0" applyNumberFormat="1" applyAlignment="1">
      <alignment vertical="center"/>
    </xf>
    <xf numFmtId="2" fontId="2" fillId="0" borderId="0" xfId="0" applyNumberFormat="1" applyFont="1" applyAlignment="1">
      <alignment vertical="center"/>
    </xf>
    <xf numFmtId="1" fontId="1" fillId="0" borderId="1" xfId="2" applyNumberFormat="1" applyFont="1" applyFill="1" applyBorder="1" applyAlignment="1" applyProtection="1">
      <alignment horizontal="right" vertical="center"/>
      <protection locked="0"/>
    </xf>
    <xf numFmtId="1" fontId="1" fillId="0" borderId="1" xfId="2" applyNumberFormat="1" applyFill="1" applyBorder="1" applyAlignment="1" applyProtection="1">
      <alignment horizontal="right" vertical="center"/>
      <protection locked="0"/>
    </xf>
    <xf numFmtId="0" fontId="2" fillId="0" borderId="6" xfId="0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2" fontId="2" fillId="0" borderId="6" xfId="0" applyNumberFormat="1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9" fontId="0" fillId="0" borderId="1" xfId="0" applyNumberFormat="1" applyBorder="1" applyAlignment="1">
      <alignment vertical="center"/>
    </xf>
    <xf numFmtId="1" fontId="0" fillId="0" borderId="1" xfId="0" applyNumberForma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10" fontId="9" fillId="0" borderId="1" xfId="0" applyNumberFormat="1" applyFont="1" applyBorder="1" applyAlignment="1">
      <alignment vertical="center"/>
    </xf>
    <xf numFmtId="0" fontId="17" fillId="0" borderId="1" xfId="0" applyFont="1" applyBorder="1" applyAlignment="1">
      <alignment vertical="center"/>
    </xf>
    <xf numFmtId="1" fontId="0" fillId="0" borderId="0" xfId="0" applyNumberFormat="1"/>
    <xf numFmtId="1" fontId="4" fillId="0" borderId="1" xfId="0" applyNumberFormat="1" applyFont="1" applyBorder="1" applyAlignment="1">
      <alignment vertical="center"/>
    </xf>
    <xf numFmtId="2" fontId="2" fillId="2" borderId="1" xfId="1" applyNumberFormat="1" applyFont="1" applyFill="1" applyBorder="1" applyAlignment="1">
      <alignment horizontal="center" vertical="center"/>
    </xf>
    <xf numFmtId="2" fontId="2" fillId="2" borderId="1" xfId="1" applyNumberFormat="1" applyFont="1" applyFill="1" applyBorder="1" applyAlignment="1">
      <alignment horizontal="right" vertical="center"/>
    </xf>
    <xf numFmtId="2" fontId="0" fillId="0" borderId="0" xfId="0" applyNumberFormat="1" applyAlignment="1">
      <alignment horizontal="right"/>
    </xf>
    <xf numFmtId="10" fontId="0" fillId="0" borderId="0" xfId="0" applyNumberFormat="1"/>
    <xf numFmtId="1" fontId="2" fillId="0" borderId="1" xfId="0" applyNumberFormat="1" applyFont="1" applyBorder="1"/>
    <xf numFmtId="1" fontId="1" fillId="0" borderId="1" xfId="0" applyNumberFormat="1" applyFont="1" applyBorder="1"/>
    <xf numFmtId="2" fontId="18" fillId="0" borderId="1" xfId="0" applyNumberFormat="1" applyFont="1" applyBorder="1" applyAlignment="1">
      <alignment vertical="center"/>
    </xf>
    <xf numFmtId="2" fontId="19" fillId="0" borderId="1" xfId="0" applyNumberFormat="1" applyFont="1" applyBorder="1" applyAlignment="1">
      <alignment vertical="center"/>
    </xf>
    <xf numFmtId="0" fontId="19" fillId="0" borderId="1" xfId="0" applyFont="1" applyBorder="1" applyAlignment="1">
      <alignment vertical="center"/>
    </xf>
    <xf numFmtId="2" fontId="1" fillId="0" borderId="1" xfId="0" applyNumberFormat="1" applyFont="1" applyBorder="1"/>
    <xf numFmtId="2" fontId="2" fillId="2" borderId="3" xfId="2" applyNumberFormat="1" applyFont="1" applyFill="1" applyBorder="1" applyAlignment="1">
      <alignment horizontal="center" vertical="center" wrapText="1"/>
    </xf>
    <xf numFmtId="2" fontId="4" fillId="0" borderId="1" xfId="2" applyNumberFormat="1" applyFont="1" applyBorder="1" applyAlignment="1">
      <alignment vertical="center"/>
    </xf>
    <xf numFmtId="0" fontId="1" fillId="0" borderId="0" xfId="0" applyFont="1"/>
    <xf numFmtId="0" fontId="2" fillId="4" borderId="0" xfId="0" applyFont="1" applyFill="1"/>
    <xf numFmtId="2" fontId="0" fillId="0" borderId="1" xfId="0" applyNumberFormat="1" applyBorder="1" applyAlignment="1">
      <alignment horizontal="left" vertical="center"/>
    </xf>
    <xf numFmtId="2" fontId="4" fillId="0" borderId="1" xfId="0" applyNumberFormat="1" applyFont="1" applyBorder="1" applyAlignment="1">
      <alignment vertical="center"/>
    </xf>
    <xf numFmtId="2" fontId="2" fillId="0" borderId="1" xfId="0" applyNumberFormat="1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1" fontId="2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9" fontId="2" fillId="0" borderId="0" xfId="3" applyFont="1" applyBorder="1" applyAlignment="1">
      <alignment vertical="center"/>
    </xf>
    <xf numFmtId="2" fontId="1" fillId="0" borderId="1" xfId="2" applyNumberFormat="1" applyFont="1" applyBorder="1" applyAlignment="1">
      <alignment vertical="center" wrapText="1"/>
    </xf>
    <xf numFmtId="2" fontId="0" fillId="0" borderId="1" xfId="0" applyNumberFormat="1" applyFill="1" applyBorder="1" applyAlignment="1">
      <alignment vertical="center" wrapText="1"/>
    </xf>
    <xf numFmtId="2" fontId="4" fillId="0" borderId="1" xfId="0" applyNumberFormat="1" applyFont="1" applyFill="1" applyBorder="1" applyAlignment="1" applyProtection="1">
      <alignment vertical="center" wrapText="1"/>
      <protection locked="0"/>
    </xf>
    <xf numFmtId="2" fontId="4" fillId="0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  <xf numFmtId="43" fontId="2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left" vertical="center" indent="2"/>
    </xf>
    <xf numFmtId="0" fontId="1" fillId="0" borderId="1" xfId="0" applyFont="1" applyBorder="1" applyAlignment="1">
      <alignment horizontal="left" vertical="center" indent="2"/>
    </xf>
    <xf numFmtId="2" fontId="1" fillId="0" borderId="1" xfId="0" applyNumberFormat="1" applyFont="1" applyFill="1" applyBorder="1" applyAlignment="1">
      <alignment horizontal="left" vertical="center" wrapText="1"/>
    </xf>
    <xf numFmtId="0" fontId="21" fillId="0" borderId="1" xfId="0" applyFont="1" applyBorder="1" applyAlignment="1">
      <alignment vertical="center"/>
    </xf>
    <xf numFmtId="2" fontId="21" fillId="0" borderId="1" xfId="0" applyNumberFormat="1" applyFont="1" applyBorder="1" applyAlignment="1">
      <alignment vertical="center"/>
    </xf>
    <xf numFmtId="167" fontId="0" fillId="0" borderId="0" xfId="0" applyNumberFormat="1"/>
    <xf numFmtId="2" fontId="1" fillId="0" borderId="1" xfId="2" applyNumberFormat="1" applyFont="1" applyBorder="1" applyAlignment="1">
      <alignment vertical="center"/>
    </xf>
    <xf numFmtId="2" fontId="1" fillId="0" borderId="1" xfId="0" applyNumberFormat="1" applyFont="1" applyFill="1" applyBorder="1" applyAlignment="1">
      <alignment vertical="center"/>
    </xf>
    <xf numFmtId="0" fontId="22" fillId="0" borderId="1" xfId="0" applyFont="1" applyBorder="1" applyAlignment="1">
      <alignment vertical="center"/>
    </xf>
    <xf numFmtId="2" fontId="22" fillId="0" borderId="1" xfId="0" applyNumberFormat="1" applyFont="1" applyBorder="1" applyAlignment="1">
      <alignment vertical="center"/>
    </xf>
    <xf numFmtId="43" fontId="0" fillId="0" borderId="1" xfId="1" applyFont="1" applyBorder="1"/>
    <xf numFmtId="2" fontId="0" fillId="5" borderId="1" xfId="0" applyNumberFormat="1" applyFill="1" applyBorder="1" applyAlignment="1">
      <alignment vertical="center"/>
    </xf>
    <xf numFmtId="0" fontId="1" fillId="0" borderId="0" xfId="0" applyFont="1" applyFill="1" applyBorder="1"/>
    <xf numFmtId="2" fontId="1" fillId="0" borderId="0" xfId="0" applyNumberFormat="1" applyFont="1"/>
    <xf numFmtId="0" fontId="2" fillId="0" borderId="1" xfId="2" applyFont="1" applyBorder="1" applyAlignment="1">
      <alignment horizontal="center" vertical="center"/>
    </xf>
    <xf numFmtId="2" fontId="4" fillId="0" borderId="0" xfId="0" applyNumberFormat="1" applyFont="1" applyAlignment="1">
      <alignment vertical="center"/>
    </xf>
    <xf numFmtId="10" fontId="4" fillId="0" borderId="0" xfId="0" applyNumberFormat="1" applyFont="1" applyAlignment="1">
      <alignment horizontal="center" vertical="center"/>
    </xf>
    <xf numFmtId="0" fontId="1" fillId="0" borderId="1" xfId="0" applyFont="1" applyBorder="1"/>
    <xf numFmtId="2" fontId="23" fillId="0" borderId="1" xfId="0" applyNumberFormat="1" applyFont="1" applyBorder="1" applyAlignment="1">
      <alignment vertical="center"/>
    </xf>
    <xf numFmtId="43" fontId="19" fillId="0" borderId="1" xfId="1" applyFont="1" applyBorder="1" applyAlignment="1">
      <alignment vertical="center"/>
    </xf>
    <xf numFmtId="43" fontId="22" fillId="0" borderId="1" xfId="1" applyFont="1" applyBorder="1" applyAlignment="1">
      <alignment vertical="center"/>
    </xf>
    <xf numFmtId="43" fontId="23" fillId="0" borderId="1" xfId="1" applyFont="1" applyBorder="1" applyAlignment="1">
      <alignment vertical="center"/>
    </xf>
    <xf numFmtId="43" fontId="0" fillId="0" borderId="0" xfId="1" applyFont="1" applyAlignment="1">
      <alignment vertical="center"/>
    </xf>
    <xf numFmtId="2" fontId="19" fillId="4" borderId="1" xfId="0" applyNumberFormat="1" applyFont="1" applyFill="1" applyBorder="1" applyAlignment="1">
      <alignment vertical="center"/>
    </xf>
    <xf numFmtId="2" fontId="22" fillId="4" borderId="1" xfId="0" applyNumberFormat="1" applyFont="1" applyFill="1" applyBorder="1" applyAlignment="1">
      <alignment vertical="center"/>
    </xf>
    <xf numFmtId="0" fontId="22" fillId="4" borderId="1" xfId="0" applyFont="1" applyFill="1" applyBorder="1" applyAlignment="1">
      <alignment vertical="center"/>
    </xf>
    <xf numFmtId="0" fontId="4" fillId="4" borderId="1" xfId="0" applyFont="1" applyFill="1" applyBorder="1"/>
    <xf numFmtId="2" fontId="4" fillId="4" borderId="1" xfId="0" applyNumberFormat="1" applyFont="1" applyFill="1" applyBorder="1"/>
    <xf numFmtId="0" fontId="24" fillId="0" borderId="1" xfId="0" applyFont="1" applyBorder="1" applyAlignment="1">
      <alignment horizontal="left" vertical="center"/>
    </xf>
    <xf numFmtId="2" fontId="0" fillId="0" borderId="1" xfId="0" applyNumberFormat="1" applyBorder="1" applyAlignment="1">
      <alignment horizontal="right" vertical="center"/>
    </xf>
    <xf numFmtId="2" fontId="0" fillId="0" borderId="1" xfId="0" applyNumberForma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/>
    </xf>
    <xf numFmtId="2" fontId="2" fillId="2" borderId="1" xfId="2" applyNumberFormat="1" applyFont="1" applyFill="1" applyBorder="1" applyAlignment="1">
      <alignment horizontal="center" vertical="center"/>
    </xf>
    <xf numFmtId="0" fontId="1" fillId="0" borderId="1" xfId="2" applyFont="1" applyBorder="1" applyAlignment="1">
      <alignment vertical="center"/>
    </xf>
    <xf numFmtId="2" fontId="4" fillId="0" borderId="1" xfId="0" applyNumberFormat="1" applyFont="1" applyBorder="1" applyAlignment="1">
      <alignment horizontal="right" vertical="center"/>
    </xf>
    <xf numFmtId="2" fontId="0" fillId="0" borderId="0" xfId="0" applyNumberFormat="1" applyBorder="1" applyAlignment="1">
      <alignment vertical="center"/>
    </xf>
    <xf numFmtId="0" fontId="1" fillId="0" borderId="1" xfId="2" applyBorder="1" applyAlignment="1">
      <alignment vertical="center"/>
    </xf>
    <xf numFmtId="2" fontId="0" fillId="0" borderId="1" xfId="0" applyNumberFormat="1" applyFill="1" applyBorder="1" applyAlignment="1">
      <alignment vertical="center"/>
    </xf>
    <xf numFmtId="2" fontId="1" fillId="0" borderId="1" xfId="2" applyNumberFormat="1" applyFont="1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0" fillId="6" borderId="1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 wrapText="1"/>
    </xf>
    <xf numFmtId="43" fontId="4" fillId="0" borderId="1" xfId="1" applyFont="1" applyBorder="1" applyAlignment="1">
      <alignment vertical="center"/>
    </xf>
    <xf numFmtId="2" fontId="1" fillId="5" borderId="1" xfId="0" applyNumberFormat="1" applyFont="1" applyFill="1" applyBorder="1" applyAlignment="1">
      <alignment vertical="center"/>
    </xf>
    <xf numFmtId="2" fontId="4" fillId="2" borderId="1" xfId="0" applyNumberFormat="1" applyFont="1" applyFill="1" applyBorder="1" applyAlignment="1">
      <alignment horizontal="center" vertical="center" wrapText="1"/>
    </xf>
    <xf numFmtId="43" fontId="1" fillId="0" borderId="1" xfId="1" applyFont="1" applyBorder="1" applyAlignment="1" applyProtection="1"/>
    <xf numFmtId="43" fontId="2" fillId="2" borderId="1" xfId="1" applyFont="1" applyFill="1" applyBorder="1" applyAlignment="1">
      <alignment horizontal="right"/>
    </xf>
    <xf numFmtId="2" fontId="12" fillId="0" borderId="1" xfId="0" applyNumberFormat="1" applyFont="1" applyBorder="1" applyAlignment="1">
      <alignment vertical="center"/>
    </xf>
    <xf numFmtId="2" fontId="4" fillId="0" borderId="1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10" fontId="3" fillId="0" borderId="1" xfId="0" applyNumberFormat="1" applyFont="1" applyBorder="1" applyAlignment="1">
      <alignment horizontal="center"/>
    </xf>
    <xf numFmtId="17" fontId="0" fillId="0" borderId="1" xfId="0" applyNumberFormat="1" applyBorder="1" applyAlignment="1">
      <alignment horizontal="center"/>
    </xf>
    <xf numFmtId="10" fontId="0" fillId="0" borderId="1" xfId="0" applyNumberFormat="1" applyBorder="1" applyAlignment="1">
      <alignment horizontal="center"/>
    </xf>
    <xf numFmtId="2" fontId="2" fillId="2" borderId="1" xfId="0" applyNumberFormat="1" applyFont="1" applyFill="1" applyBorder="1" applyAlignment="1">
      <alignment horizontal="center" vertical="center"/>
    </xf>
    <xf numFmtId="43" fontId="0" fillId="0" borderId="1" xfId="1" applyFont="1" applyBorder="1" applyAlignment="1">
      <alignment vertical="center"/>
    </xf>
    <xf numFmtId="43" fontId="4" fillId="0" borderId="1" xfId="1" applyFont="1" applyBorder="1"/>
    <xf numFmtId="43" fontId="0" fillId="0" borderId="5" xfId="1" applyFont="1" applyBorder="1"/>
    <xf numFmtId="2" fontId="1" fillId="0" borderId="1" xfId="0" applyNumberFormat="1" applyFont="1" applyFill="1" applyBorder="1"/>
    <xf numFmtId="2" fontId="25" fillId="0" borderId="0" xfId="0" applyNumberFormat="1" applyFont="1"/>
    <xf numFmtId="0" fontId="26" fillId="0" borderId="0" xfId="0" applyFont="1"/>
    <xf numFmtId="2" fontId="26" fillId="0" borderId="0" xfId="0" applyNumberFormat="1" applyFont="1"/>
    <xf numFmtId="2" fontId="25" fillId="2" borderId="1" xfId="2" applyNumberFormat="1" applyFont="1" applyFill="1" applyBorder="1" applyAlignment="1">
      <alignment horizontal="center" vertical="center"/>
    </xf>
    <xf numFmtId="2" fontId="25" fillId="2" borderId="3" xfId="2" applyNumberFormat="1" applyFont="1" applyFill="1" applyBorder="1" applyAlignment="1">
      <alignment horizontal="center" vertical="center"/>
    </xf>
    <xf numFmtId="2" fontId="25" fillId="2" borderId="3" xfId="2" applyNumberFormat="1" applyFont="1" applyFill="1" applyBorder="1" applyAlignment="1">
      <alignment horizontal="center" vertical="center" wrapText="1"/>
    </xf>
    <xf numFmtId="2" fontId="25" fillId="0" borderId="1" xfId="0" applyNumberFormat="1" applyFont="1" applyBorder="1" applyAlignment="1">
      <alignment horizontal="left" vertical="center"/>
    </xf>
    <xf numFmtId="0" fontId="26" fillId="0" borderId="1" xfId="0" applyFont="1" applyBorder="1" applyAlignment="1">
      <alignment vertical="center"/>
    </xf>
    <xf numFmtId="2" fontId="26" fillId="0" borderId="1" xfId="0" applyNumberFormat="1" applyFont="1" applyBorder="1" applyAlignment="1">
      <alignment horizontal="left" vertical="center" indent="2"/>
    </xf>
    <xf numFmtId="2" fontId="26" fillId="0" borderId="1" xfId="0" applyNumberFormat="1" applyFont="1" applyBorder="1" applyAlignment="1">
      <alignment vertical="center"/>
    </xf>
    <xf numFmtId="2" fontId="25" fillId="0" borderId="1" xfId="0" applyNumberFormat="1" applyFont="1" applyBorder="1" applyAlignment="1">
      <alignment horizontal="left" vertical="center" indent="2"/>
    </xf>
    <xf numFmtId="0" fontId="25" fillId="0" borderId="1" xfId="0" applyFont="1" applyBorder="1" applyAlignment="1">
      <alignment vertical="center"/>
    </xf>
    <xf numFmtId="2" fontId="25" fillId="0" borderId="1" xfId="0" applyNumberFormat="1" applyFont="1" applyBorder="1" applyAlignment="1">
      <alignment vertical="center"/>
    </xf>
    <xf numFmtId="2" fontId="26" fillId="0" borderId="1" xfId="0" applyNumberFormat="1" applyFont="1" applyFill="1" applyBorder="1" applyAlignment="1">
      <alignment horizontal="left" vertical="center" indent="2"/>
    </xf>
    <xf numFmtId="2" fontId="26" fillId="0" borderId="1" xfId="0" applyNumberFormat="1" applyFont="1" applyBorder="1" applyAlignment="1">
      <alignment horizontal="left" vertical="center" indent="4"/>
    </xf>
    <xf numFmtId="43" fontId="26" fillId="0" borderId="1" xfId="1" applyFont="1" applyBorder="1" applyAlignment="1">
      <alignment vertical="center"/>
    </xf>
    <xf numFmtId="2" fontId="25" fillId="0" borderId="1" xfId="0" applyNumberFormat="1" applyFont="1" applyBorder="1" applyAlignment="1">
      <alignment horizontal="center" vertical="center"/>
    </xf>
    <xf numFmtId="2" fontId="26" fillId="0" borderId="1" xfId="0" applyNumberFormat="1" applyFont="1" applyFill="1" applyBorder="1" applyAlignment="1">
      <alignment horizontal="left" vertical="center"/>
    </xf>
    <xf numFmtId="2" fontId="26" fillId="0" borderId="1" xfId="0" applyNumberFormat="1" applyFont="1" applyBorder="1" applyAlignment="1">
      <alignment horizontal="left" vertical="center"/>
    </xf>
    <xf numFmtId="2" fontId="26" fillId="0" borderId="1" xfId="0" applyNumberFormat="1" applyFont="1" applyFill="1" applyBorder="1" applyAlignment="1">
      <alignment horizontal="left" vertical="center" wrapText="1"/>
    </xf>
    <xf numFmtId="2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2" fontId="1" fillId="0" borderId="0" xfId="0" applyNumberFormat="1" applyFont="1" applyAlignment="1">
      <alignment wrapText="1"/>
    </xf>
    <xf numFmtId="0" fontId="1" fillId="0" borderId="1" xfId="0" applyFont="1" applyBorder="1" applyAlignment="1">
      <alignment vertical="top" wrapText="1"/>
    </xf>
    <xf numFmtId="2" fontId="0" fillId="0" borderId="1" xfId="0" applyNumberFormat="1" applyBorder="1" applyAlignment="1">
      <alignment vertical="top"/>
    </xf>
    <xf numFmtId="0" fontId="1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10" fontId="0" fillId="0" borderId="1" xfId="0" applyNumberFormat="1" applyBorder="1" applyAlignment="1">
      <alignment horizontal="center" vertical="top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wrapText="1"/>
    </xf>
    <xf numFmtId="2" fontId="0" fillId="0" borderId="1" xfId="0" applyNumberFormat="1" applyFill="1" applyBorder="1"/>
    <xf numFmtId="43" fontId="0" fillId="0" borderId="1" xfId="1" applyFont="1" applyFill="1" applyBorder="1"/>
    <xf numFmtId="2" fontId="0" fillId="0" borderId="0" xfId="0" applyNumberFormat="1" applyFill="1"/>
    <xf numFmtId="0" fontId="1" fillId="0" borderId="1" xfId="0" applyFont="1" applyBorder="1" applyAlignment="1"/>
    <xf numFmtId="166" fontId="2" fillId="0" borderId="1" xfId="0" applyNumberFormat="1" applyFont="1" applyFill="1" applyBorder="1" applyAlignment="1">
      <alignment horizontal="right"/>
    </xf>
    <xf numFmtId="166" fontId="2" fillId="0" borderId="1" xfId="0" applyNumberFormat="1" applyFont="1" applyFill="1" applyBorder="1"/>
    <xf numFmtId="43" fontId="1" fillId="0" borderId="1" xfId="1" applyFont="1" applyFill="1" applyBorder="1"/>
    <xf numFmtId="0" fontId="0" fillId="0" borderId="7" xfId="0" applyBorder="1" applyAlignment="1">
      <alignment horizontal="center"/>
    </xf>
    <xf numFmtId="0" fontId="26" fillId="0" borderId="7" xfId="0" applyFont="1" applyBorder="1" applyAlignment="1">
      <alignment horizontal="center"/>
    </xf>
    <xf numFmtId="2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2" fontId="6" fillId="2" borderId="1" xfId="0" applyNumberFormat="1" applyFont="1" applyFill="1" applyBorder="1"/>
    <xf numFmtId="0" fontId="5" fillId="2" borderId="1" xfId="0" applyFont="1" applyFill="1" applyBorder="1" applyAlignment="1" applyProtection="1">
      <alignment horizontal="center" vertical="center" wrapText="1"/>
    </xf>
    <xf numFmtId="10" fontId="5" fillId="2" borderId="1" xfId="0" applyNumberFormat="1" applyFont="1" applyFill="1" applyBorder="1" applyAlignment="1">
      <alignment horizontal="center" vertical="top" wrapText="1"/>
    </xf>
    <xf numFmtId="2" fontId="2" fillId="0" borderId="0" xfId="0" applyNumberFormat="1" applyFont="1" applyAlignment="1">
      <alignment horizontal="left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0" fillId="2" borderId="1" xfId="0" applyNumberFormat="1" applyFill="1" applyBorder="1" applyAlignment="1">
      <alignment horizontal="center" vertical="center" wrapText="1"/>
    </xf>
    <xf numFmtId="2" fontId="0" fillId="2" borderId="1" xfId="0" applyNumberFormat="1" applyFill="1" applyBorder="1" applyAlignment="1"/>
    <xf numFmtId="2" fontId="4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 vertical="center"/>
    </xf>
    <xf numFmtId="0" fontId="20" fillId="0" borderId="8" xfId="0" applyFont="1" applyBorder="1" applyAlignment="1">
      <alignment horizontal="center" vertical="center" textRotation="45"/>
    </xf>
    <xf numFmtId="0" fontId="20" fillId="0" borderId="9" xfId="0" applyFont="1" applyBorder="1" applyAlignment="1">
      <alignment horizontal="center" vertical="center" textRotation="45"/>
    </xf>
    <xf numFmtId="0" fontId="20" fillId="0" borderId="10" xfId="0" applyFont="1" applyBorder="1" applyAlignment="1">
      <alignment horizontal="center" vertical="center" textRotation="45"/>
    </xf>
    <xf numFmtId="0" fontId="20" fillId="0" borderId="11" xfId="0" applyFont="1" applyBorder="1" applyAlignment="1">
      <alignment horizontal="center" vertical="center" textRotation="45"/>
    </xf>
    <xf numFmtId="0" fontId="20" fillId="0" borderId="0" xfId="0" applyFont="1" applyBorder="1" applyAlignment="1">
      <alignment horizontal="center" vertical="center" textRotation="45"/>
    </xf>
    <xf numFmtId="0" fontId="20" fillId="0" borderId="12" xfId="0" applyFont="1" applyBorder="1" applyAlignment="1">
      <alignment horizontal="center" vertical="center" textRotation="45"/>
    </xf>
    <xf numFmtId="0" fontId="20" fillId="0" borderId="13" xfId="0" applyFont="1" applyBorder="1" applyAlignment="1">
      <alignment horizontal="center" vertical="center" textRotation="45"/>
    </xf>
    <xf numFmtId="0" fontId="20" fillId="0" borderId="7" xfId="0" applyFont="1" applyBorder="1" applyAlignment="1">
      <alignment horizontal="center" vertical="center" textRotation="45"/>
    </xf>
    <xf numFmtId="0" fontId="20" fillId="0" borderId="14" xfId="0" applyFont="1" applyBorder="1" applyAlignment="1">
      <alignment horizontal="center" vertical="center" textRotation="45"/>
    </xf>
    <xf numFmtId="2" fontId="16" fillId="0" borderId="7" xfId="0" applyNumberFormat="1" applyFont="1" applyBorder="1" applyAlignment="1">
      <alignment horizontal="left" vertical="center" wrapText="1"/>
    </xf>
    <xf numFmtId="2" fontId="17" fillId="0" borderId="7" xfId="0" applyNumberFormat="1" applyFont="1" applyBorder="1" applyAlignment="1">
      <alignment horizontal="center"/>
    </xf>
    <xf numFmtId="2" fontId="2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0" fillId="0" borderId="7" xfId="0" applyBorder="1" applyAlignment="1">
      <alignment horizontal="right"/>
    </xf>
    <xf numFmtId="0" fontId="16" fillId="0" borderId="0" xfId="0" applyFont="1" applyAlignment="1">
      <alignment horizontal="left"/>
    </xf>
  </cellXfs>
  <cellStyles count="4">
    <cellStyle name="Comma" xfId="1" builtinId="3"/>
    <cellStyle name="Normal" xfId="0" builtinId="0"/>
    <cellStyle name="Normal_FORMATS 5 YEAR ALOKE" xfId="2"/>
    <cellStyle name="Percent" xfId="3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externalLink" Target="externalLinks/externalLink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</xdr:colOff>
      <xdr:row>3</xdr:row>
      <xdr:rowOff>76200</xdr:rowOff>
    </xdr:from>
    <xdr:to>
      <xdr:col>6</xdr:col>
      <xdr:colOff>85725</xdr:colOff>
      <xdr:row>4</xdr:row>
      <xdr:rowOff>114300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4438650" y="323850"/>
          <a:ext cx="790575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Rs. in crores</a:t>
          </a:r>
        </a:p>
        <a:p>
          <a:pPr algn="l" rtl="1">
            <a:defRPr sz="1000"/>
          </a:pPr>
          <a:endParaRPr lang="en-US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5</xdr:col>
      <xdr:colOff>28575</xdr:colOff>
      <xdr:row>9</xdr:row>
      <xdr:rowOff>76200</xdr:rowOff>
    </xdr:from>
    <xdr:to>
      <xdr:col>6</xdr:col>
      <xdr:colOff>85725</xdr:colOff>
      <xdr:row>10</xdr:row>
      <xdr:rowOff>114300</xdr:rowOff>
    </xdr:to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4438650" y="323850"/>
          <a:ext cx="790575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Rs. in crores</a:t>
          </a:r>
        </a:p>
        <a:p>
          <a:pPr algn="l" rtl="1">
            <a:defRPr sz="1000"/>
          </a:pPr>
          <a:endParaRPr lang="en-US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5</xdr:col>
      <xdr:colOff>28575</xdr:colOff>
      <xdr:row>15</xdr:row>
      <xdr:rowOff>76200</xdr:rowOff>
    </xdr:from>
    <xdr:to>
      <xdr:col>6</xdr:col>
      <xdr:colOff>85725</xdr:colOff>
      <xdr:row>16</xdr:row>
      <xdr:rowOff>114300</xdr:rowOff>
    </xdr:to>
    <xdr:sp macro="" textlink="">
      <xdr:nvSpPr>
        <xdr:cNvPr id="1027" name="Text Box 3"/>
        <xdr:cNvSpPr txBox="1">
          <a:spLocks noChangeArrowheads="1"/>
        </xdr:cNvSpPr>
      </xdr:nvSpPr>
      <xdr:spPr bwMode="auto">
        <a:xfrm>
          <a:off x="4438650" y="323850"/>
          <a:ext cx="790575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Rs. in crores</a:t>
          </a:r>
        </a:p>
        <a:p>
          <a:pPr algn="l" rtl="1">
            <a:defRPr sz="1000"/>
          </a:pPr>
          <a:endParaRPr lang="en-US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5</xdr:col>
      <xdr:colOff>28575</xdr:colOff>
      <xdr:row>27</xdr:row>
      <xdr:rowOff>76200</xdr:rowOff>
    </xdr:from>
    <xdr:to>
      <xdr:col>6</xdr:col>
      <xdr:colOff>85725</xdr:colOff>
      <xdr:row>28</xdr:row>
      <xdr:rowOff>114300</xdr:rowOff>
    </xdr:to>
    <xdr:sp macro="" textlink="">
      <xdr:nvSpPr>
        <xdr:cNvPr id="1028" name="Text Box 4"/>
        <xdr:cNvSpPr txBox="1">
          <a:spLocks noChangeArrowheads="1"/>
        </xdr:cNvSpPr>
      </xdr:nvSpPr>
      <xdr:spPr bwMode="auto">
        <a:xfrm>
          <a:off x="4438650" y="323850"/>
          <a:ext cx="790575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Rs. in crores</a:t>
          </a:r>
        </a:p>
        <a:p>
          <a:pPr algn="l" rtl="1">
            <a:defRPr sz="1000"/>
          </a:pPr>
          <a:endParaRPr lang="en-US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5</xdr:col>
      <xdr:colOff>28575</xdr:colOff>
      <xdr:row>35</xdr:row>
      <xdr:rowOff>76200</xdr:rowOff>
    </xdr:from>
    <xdr:to>
      <xdr:col>6</xdr:col>
      <xdr:colOff>85725</xdr:colOff>
      <xdr:row>36</xdr:row>
      <xdr:rowOff>114300</xdr:rowOff>
    </xdr:to>
    <xdr:sp macro="" textlink="">
      <xdr:nvSpPr>
        <xdr:cNvPr id="1029" name="Text Box 5"/>
        <xdr:cNvSpPr txBox="1">
          <a:spLocks noChangeArrowheads="1"/>
        </xdr:cNvSpPr>
      </xdr:nvSpPr>
      <xdr:spPr bwMode="auto">
        <a:xfrm>
          <a:off x="4438650" y="400050"/>
          <a:ext cx="790575" cy="2000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Rs. in crores</a:t>
          </a:r>
        </a:p>
        <a:p>
          <a:pPr algn="l" rtl="1">
            <a:defRPr sz="1000"/>
          </a:pPr>
          <a:endParaRPr lang="en-US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5</xdr:col>
      <xdr:colOff>28575</xdr:colOff>
      <xdr:row>41</xdr:row>
      <xdr:rowOff>76200</xdr:rowOff>
    </xdr:from>
    <xdr:to>
      <xdr:col>6</xdr:col>
      <xdr:colOff>85725</xdr:colOff>
      <xdr:row>42</xdr:row>
      <xdr:rowOff>114300</xdr:rowOff>
    </xdr:to>
    <xdr:sp macro="" textlink="">
      <xdr:nvSpPr>
        <xdr:cNvPr id="1030" name="Text Box 6"/>
        <xdr:cNvSpPr txBox="1">
          <a:spLocks noChangeArrowheads="1"/>
        </xdr:cNvSpPr>
      </xdr:nvSpPr>
      <xdr:spPr bwMode="auto">
        <a:xfrm>
          <a:off x="4438650" y="2171700"/>
          <a:ext cx="790575" cy="2000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Rs. in crores</a:t>
          </a:r>
        </a:p>
        <a:p>
          <a:pPr algn="l" rtl="1">
            <a:defRPr sz="1000"/>
          </a:pPr>
          <a:endParaRPr lang="en-US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5</xdr:col>
      <xdr:colOff>28575</xdr:colOff>
      <xdr:row>47</xdr:row>
      <xdr:rowOff>76200</xdr:rowOff>
    </xdr:from>
    <xdr:to>
      <xdr:col>6</xdr:col>
      <xdr:colOff>85725</xdr:colOff>
      <xdr:row>48</xdr:row>
      <xdr:rowOff>114300</xdr:rowOff>
    </xdr:to>
    <xdr:sp macro="" textlink="">
      <xdr:nvSpPr>
        <xdr:cNvPr id="1031" name="Text Box 7"/>
        <xdr:cNvSpPr txBox="1">
          <a:spLocks noChangeArrowheads="1"/>
        </xdr:cNvSpPr>
      </xdr:nvSpPr>
      <xdr:spPr bwMode="auto">
        <a:xfrm>
          <a:off x="4438650" y="3962400"/>
          <a:ext cx="790575" cy="2000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Rs. in crores</a:t>
          </a:r>
        </a:p>
        <a:p>
          <a:pPr algn="l" rtl="1">
            <a:defRPr sz="1000"/>
          </a:pPr>
          <a:endParaRPr lang="en-US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5</xdr:col>
      <xdr:colOff>28575</xdr:colOff>
      <xdr:row>53</xdr:row>
      <xdr:rowOff>76200</xdr:rowOff>
    </xdr:from>
    <xdr:to>
      <xdr:col>6</xdr:col>
      <xdr:colOff>85725</xdr:colOff>
      <xdr:row>54</xdr:row>
      <xdr:rowOff>114300</xdr:rowOff>
    </xdr:to>
    <xdr:sp macro="" textlink="">
      <xdr:nvSpPr>
        <xdr:cNvPr id="1032" name="Text Box 8"/>
        <xdr:cNvSpPr txBox="1">
          <a:spLocks noChangeArrowheads="1"/>
        </xdr:cNvSpPr>
      </xdr:nvSpPr>
      <xdr:spPr bwMode="auto">
        <a:xfrm>
          <a:off x="4438650" y="5724525"/>
          <a:ext cx="790575" cy="2000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Rs. in crores</a:t>
          </a:r>
        </a:p>
        <a:p>
          <a:pPr algn="l" rtl="1">
            <a:defRPr sz="1000"/>
          </a:pPr>
          <a:endParaRPr lang="en-US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5</xdr:col>
      <xdr:colOff>28575</xdr:colOff>
      <xdr:row>59</xdr:row>
      <xdr:rowOff>76200</xdr:rowOff>
    </xdr:from>
    <xdr:to>
      <xdr:col>6</xdr:col>
      <xdr:colOff>85725</xdr:colOff>
      <xdr:row>60</xdr:row>
      <xdr:rowOff>114300</xdr:rowOff>
    </xdr:to>
    <xdr:sp macro="" textlink="">
      <xdr:nvSpPr>
        <xdr:cNvPr id="1033" name="Text Box 9"/>
        <xdr:cNvSpPr txBox="1">
          <a:spLocks noChangeArrowheads="1"/>
        </xdr:cNvSpPr>
      </xdr:nvSpPr>
      <xdr:spPr bwMode="auto">
        <a:xfrm>
          <a:off x="4438650" y="7543800"/>
          <a:ext cx="790575" cy="2000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Rs. in crores</a:t>
          </a:r>
        </a:p>
        <a:p>
          <a:pPr algn="l" rtl="1">
            <a:defRPr sz="1000"/>
          </a:pPr>
          <a:endParaRPr lang="en-US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5</xdr:col>
      <xdr:colOff>28575</xdr:colOff>
      <xdr:row>65</xdr:row>
      <xdr:rowOff>76200</xdr:rowOff>
    </xdr:from>
    <xdr:to>
      <xdr:col>6</xdr:col>
      <xdr:colOff>85725</xdr:colOff>
      <xdr:row>66</xdr:row>
      <xdr:rowOff>114300</xdr:rowOff>
    </xdr:to>
    <xdr:sp macro="" textlink="">
      <xdr:nvSpPr>
        <xdr:cNvPr id="1034" name="Text Box 10"/>
        <xdr:cNvSpPr txBox="1">
          <a:spLocks noChangeArrowheads="1"/>
        </xdr:cNvSpPr>
      </xdr:nvSpPr>
      <xdr:spPr bwMode="auto">
        <a:xfrm>
          <a:off x="4438650" y="9315450"/>
          <a:ext cx="790575" cy="2000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Rs. in crores</a:t>
          </a:r>
        </a:p>
        <a:p>
          <a:pPr algn="l" rtl="1">
            <a:defRPr sz="1000"/>
          </a:pPr>
          <a:endParaRPr lang="en-US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sset%20Details%20up%20to%2031.03.2018_06.12.2018_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Capex_Tx_ramesh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ummary (Gross)"/>
      <sheetName val="Summary (Net)"/>
      <sheetName val="Additions (Gross)"/>
      <sheetName val="Additions (Net)"/>
      <sheetName val="Ratio"/>
      <sheetName val="Total"/>
      <sheetName val="SLDC"/>
      <sheetName val="SLDC Summary"/>
      <sheetName val="LIS Upto 2016-17"/>
      <sheetName val="LIS(2017-18)"/>
      <sheetName val="LIS(2018-19)"/>
      <sheetName val="O&amp;M"/>
      <sheetName val="LIS Assets"/>
      <sheetName val="Sheet3"/>
      <sheetName val="Sheet1"/>
    </sheetNames>
    <sheetDataSet>
      <sheetData sheetId="0">
        <row r="36">
          <cell r="C36">
            <v>899.66400089776448</v>
          </cell>
          <cell r="D36">
            <v>1032.3525072806633</v>
          </cell>
          <cell r="E36">
            <v>1277.142748040169</v>
          </cell>
          <cell r="F36">
            <v>1482.2814776392288</v>
          </cell>
          <cell r="G36">
            <v>1666.3597152967372</v>
          </cell>
        </row>
      </sheetData>
      <sheetData sheetId="1">
        <row r="14">
          <cell r="C14">
            <v>1593.1999999999998</v>
          </cell>
        </row>
        <row r="15">
          <cell r="D15">
            <v>167.72</v>
          </cell>
        </row>
        <row r="16">
          <cell r="E16">
            <v>1108.72</v>
          </cell>
        </row>
        <row r="17">
          <cell r="F17">
            <v>0</v>
          </cell>
        </row>
        <row r="18">
          <cell r="G18">
            <v>1900.84</v>
          </cell>
        </row>
      </sheetData>
      <sheetData sheetId="2"/>
      <sheetData sheetId="3">
        <row r="4">
          <cell r="C4">
            <v>0.3507158209014436</v>
          </cell>
        </row>
        <row r="5">
          <cell r="C5">
            <v>1.6936694076099479</v>
          </cell>
        </row>
        <row r="6">
          <cell r="C6">
            <v>0</v>
          </cell>
        </row>
        <row r="7">
          <cell r="C7">
            <v>0</v>
          </cell>
        </row>
        <row r="8">
          <cell r="C8">
            <v>0.56671258332095698</v>
          </cell>
        </row>
        <row r="9">
          <cell r="C9">
            <v>48.278441163726988</v>
          </cell>
        </row>
        <row r="10">
          <cell r="C10">
            <v>0</v>
          </cell>
        </row>
        <row r="11">
          <cell r="C11">
            <v>0</v>
          </cell>
        </row>
        <row r="12">
          <cell r="C12">
            <v>0</v>
          </cell>
        </row>
        <row r="13">
          <cell r="C13">
            <v>0</v>
          </cell>
        </row>
        <row r="14">
          <cell r="C14">
            <v>0</v>
          </cell>
        </row>
        <row r="15">
          <cell r="C15">
            <v>0</v>
          </cell>
        </row>
        <row r="16">
          <cell r="C16">
            <v>0</v>
          </cell>
        </row>
        <row r="17">
          <cell r="C17">
            <v>0</v>
          </cell>
        </row>
        <row r="18">
          <cell r="C18">
            <v>48.53986380146452</v>
          </cell>
        </row>
        <row r="19">
          <cell r="C19">
            <v>0</v>
          </cell>
        </row>
        <row r="20">
          <cell r="C20">
            <v>0</v>
          </cell>
        </row>
        <row r="21">
          <cell r="C21">
            <v>0</v>
          </cell>
        </row>
        <row r="22">
          <cell r="C22">
            <v>0</v>
          </cell>
        </row>
        <row r="23">
          <cell r="C23">
            <v>2.6566085640577004E-2</v>
          </cell>
        </row>
        <row r="24">
          <cell r="C24">
            <v>4.824338161945671E-2</v>
          </cell>
        </row>
        <row r="25">
          <cell r="C25">
            <v>0.49578775571611461</v>
          </cell>
        </row>
        <row r="26">
          <cell r="C26">
            <v>0</v>
          </cell>
        </row>
        <row r="27">
          <cell r="C27">
            <v>0</v>
          </cell>
        </row>
        <row r="28">
          <cell r="C28">
            <v>0</v>
          </cell>
        </row>
      </sheetData>
      <sheetData sheetId="4">
        <row r="35">
          <cell r="H35">
            <v>0</v>
          </cell>
        </row>
        <row r="36">
          <cell r="H36">
            <v>1.0003089879004419</v>
          </cell>
        </row>
        <row r="37">
          <cell r="H37">
            <v>0</v>
          </cell>
        </row>
        <row r="38">
          <cell r="H38">
            <v>0</v>
          </cell>
        </row>
        <row r="39">
          <cell r="H39">
            <v>7.156635308206967E-2</v>
          </cell>
        </row>
        <row r="40">
          <cell r="H40">
            <v>59.019267445054844</v>
          </cell>
        </row>
        <row r="41">
          <cell r="H41">
            <v>0</v>
          </cell>
        </row>
        <row r="42">
          <cell r="H42">
            <v>0</v>
          </cell>
        </row>
        <row r="43">
          <cell r="H43">
            <v>0</v>
          </cell>
        </row>
        <row r="44">
          <cell r="H44">
            <v>0</v>
          </cell>
        </row>
        <row r="45">
          <cell r="H45">
            <v>0</v>
          </cell>
        </row>
        <row r="46">
          <cell r="H46">
            <v>0</v>
          </cell>
        </row>
        <row r="47">
          <cell r="H47">
            <v>0</v>
          </cell>
        </row>
        <row r="48">
          <cell r="H48">
            <v>0</v>
          </cell>
        </row>
        <row r="49">
          <cell r="H49">
            <v>39.077038008063539</v>
          </cell>
        </row>
        <row r="50">
          <cell r="H50">
            <v>0</v>
          </cell>
        </row>
        <row r="51">
          <cell r="H51">
            <v>0</v>
          </cell>
        </row>
        <row r="52">
          <cell r="H52">
            <v>0</v>
          </cell>
        </row>
        <row r="53">
          <cell r="H53">
            <v>0</v>
          </cell>
        </row>
        <row r="54">
          <cell r="H54">
            <v>5.6788209210850427E-2</v>
          </cell>
        </row>
        <row r="55">
          <cell r="H55">
            <v>5.451800094996076E-2</v>
          </cell>
        </row>
        <row r="56">
          <cell r="H56">
            <v>0.72051299573828853</v>
          </cell>
        </row>
        <row r="57">
          <cell r="H57">
            <v>0</v>
          </cell>
        </row>
        <row r="58">
          <cell r="H58">
            <v>0</v>
          </cell>
        </row>
        <row r="59">
          <cell r="H59">
            <v>0</v>
          </cell>
        </row>
      </sheetData>
      <sheetData sheetId="5"/>
      <sheetData sheetId="6"/>
      <sheetData sheetId="7"/>
      <sheetData sheetId="8"/>
      <sheetData sheetId="9"/>
      <sheetData sheetId="10"/>
      <sheetData sheetId="11">
        <row r="4">
          <cell r="H4">
            <v>538.09999999999991</v>
          </cell>
        </row>
        <row r="5">
          <cell r="H5">
            <v>55.120000000000005</v>
          </cell>
        </row>
        <row r="6">
          <cell r="H6">
            <v>150.94</v>
          </cell>
        </row>
      </sheetData>
      <sheetData sheetId="12">
        <row r="28">
          <cell r="E28">
            <v>153.35999999999999</v>
          </cell>
          <cell r="F28">
            <v>208.43</v>
          </cell>
          <cell r="G28">
            <v>248.68999999999997</v>
          </cell>
          <cell r="H28">
            <v>283.02999999999997</v>
          </cell>
          <cell r="I28">
            <v>342.83</v>
          </cell>
        </row>
      </sheetData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0000000000000"/>
      <sheetName val="Assumptions"/>
      <sheetName val="Consolidated"/>
      <sheetName val="400kv"/>
      <sheetName val="Scheme (2)"/>
      <sheetName val="Scheme (3)"/>
      <sheetName val="Scheme (4)"/>
      <sheetName val="Scheme (5)"/>
      <sheetName val="Scheme (6)"/>
      <sheetName val="Scheme (7)"/>
      <sheetName val="Scheme (8)"/>
      <sheetName val="ABSTRACT(1)"/>
      <sheetName val="Construction"/>
      <sheetName val="Transmission"/>
      <sheetName val="LIS"/>
      <sheetName val="Telecom"/>
      <sheetName val="1.1e"/>
      <sheetName val="Abstract"/>
    </sheetNames>
    <sheetDataSet>
      <sheetData sheetId="0"/>
      <sheetData sheetId="1">
        <row r="9">
          <cell r="D9">
            <v>120.87900000000002</v>
          </cell>
          <cell r="E9">
            <v>132.96690000000001</v>
          </cell>
          <cell r="F9">
            <v>146.26359000000002</v>
          </cell>
          <cell r="G9">
            <v>160.88994900000003</v>
          </cell>
          <cell r="H9">
            <v>176.97894390000002</v>
          </cell>
        </row>
      </sheetData>
      <sheetData sheetId="2">
        <row r="7">
          <cell r="D7">
            <v>3031.52</v>
          </cell>
          <cell r="E7">
            <v>3557.29</v>
          </cell>
          <cell r="F7">
            <v>2754.39</v>
          </cell>
          <cell r="G7">
            <v>1366.99</v>
          </cell>
          <cell r="H7">
            <v>1087.5899999999999</v>
          </cell>
        </row>
        <row r="10">
          <cell r="C10">
            <v>203.6</v>
          </cell>
          <cell r="D10">
            <v>369.26943472222217</v>
          </cell>
          <cell r="E10">
            <v>277.93954069444447</v>
          </cell>
          <cell r="F10">
            <v>220.27275111111109</v>
          </cell>
          <cell r="G10">
            <v>141.69173791666668</v>
          </cell>
          <cell r="H10">
            <v>133.34090152777779</v>
          </cell>
        </row>
        <row r="14">
          <cell r="D14">
            <v>2826.2590450599978</v>
          </cell>
          <cell r="E14">
            <v>1968.2898037394039</v>
          </cell>
          <cell r="F14">
            <v>6102.8622055119304</v>
          </cell>
          <cell r="G14">
            <v>770.38462285112541</v>
          </cell>
          <cell r="H14">
            <v>5376.1249933907729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0"/>
  <sheetViews>
    <sheetView showGridLines="0" view="pageBreakPreview" zoomScaleSheetLayoutView="100" workbookViewId="0">
      <selection activeCell="E25" sqref="E25"/>
    </sheetView>
  </sheetViews>
  <sheetFormatPr defaultRowHeight="12.75"/>
  <cols>
    <col min="1" max="1" width="5.7109375" bestFit="1" customWidth="1"/>
    <col min="2" max="2" width="44.28515625" customWidth="1"/>
    <col min="3" max="3" width="11.7109375" customWidth="1"/>
  </cols>
  <sheetData>
    <row r="1" spans="1:3" s="12" customFormat="1" ht="20.25" customHeight="1">
      <c r="A1" s="58" t="s">
        <v>152</v>
      </c>
      <c r="B1" s="58" t="s">
        <v>153</v>
      </c>
      <c r="C1" s="58" t="s">
        <v>154</v>
      </c>
    </row>
    <row r="2" spans="1:3" s="12" customFormat="1" ht="20.25" customHeight="1">
      <c r="A2" s="58">
        <v>1</v>
      </c>
      <c r="B2" s="59" t="s">
        <v>156</v>
      </c>
      <c r="C2" s="60">
        <v>1</v>
      </c>
    </row>
    <row r="3" spans="1:3" s="12" customFormat="1" ht="20.25" customHeight="1">
      <c r="A3" s="58">
        <f>+A2+1</f>
        <v>2</v>
      </c>
      <c r="B3" s="59" t="s">
        <v>157</v>
      </c>
      <c r="C3" s="58" t="s">
        <v>176</v>
      </c>
    </row>
    <row r="4" spans="1:3" s="12" customFormat="1" ht="20.25" customHeight="1">
      <c r="A4" s="58">
        <f t="shared" ref="A4:A27" si="0">+A3+1</f>
        <v>3</v>
      </c>
      <c r="B4" s="59" t="s">
        <v>38</v>
      </c>
      <c r="C4" s="58" t="s">
        <v>177</v>
      </c>
    </row>
    <row r="5" spans="1:3" s="12" customFormat="1" ht="20.25" customHeight="1">
      <c r="A5" s="58">
        <f t="shared" si="0"/>
        <v>4</v>
      </c>
      <c r="B5" s="59" t="s">
        <v>158</v>
      </c>
      <c r="C5" s="58" t="s">
        <v>178</v>
      </c>
    </row>
    <row r="6" spans="1:3" s="12" customFormat="1" ht="20.25" customHeight="1">
      <c r="A6" s="58">
        <f t="shared" si="0"/>
        <v>5</v>
      </c>
      <c r="B6" s="59" t="s">
        <v>159</v>
      </c>
      <c r="C6" s="58" t="s">
        <v>179</v>
      </c>
    </row>
    <row r="7" spans="1:3" s="12" customFormat="1" ht="20.25" customHeight="1">
      <c r="A7" s="58">
        <f t="shared" si="0"/>
        <v>6</v>
      </c>
      <c r="B7" s="59" t="s">
        <v>50</v>
      </c>
      <c r="C7" s="58" t="s">
        <v>180</v>
      </c>
    </row>
    <row r="8" spans="1:3" s="12" customFormat="1" ht="20.25" customHeight="1">
      <c r="A8" s="58">
        <f t="shared" si="0"/>
        <v>7</v>
      </c>
      <c r="B8" s="59" t="s">
        <v>160</v>
      </c>
      <c r="C8" s="58" t="s">
        <v>181</v>
      </c>
    </row>
    <row r="9" spans="1:3" s="12" customFormat="1" ht="20.25" customHeight="1">
      <c r="A9" s="58">
        <f t="shared" si="0"/>
        <v>8</v>
      </c>
      <c r="B9" s="59" t="s">
        <v>161</v>
      </c>
      <c r="C9" s="58" t="s">
        <v>182</v>
      </c>
    </row>
    <row r="10" spans="1:3" s="12" customFormat="1" ht="20.25" customHeight="1">
      <c r="A10" s="58">
        <f t="shared" si="0"/>
        <v>9</v>
      </c>
      <c r="B10" s="59" t="s">
        <v>162</v>
      </c>
      <c r="C10" s="58" t="s">
        <v>183</v>
      </c>
    </row>
    <row r="11" spans="1:3" s="12" customFormat="1" ht="20.25" customHeight="1">
      <c r="A11" s="58">
        <f t="shared" si="0"/>
        <v>10</v>
      </c>
      <c r="B11" s="59" t="s">
        <v>163</v>
      </c>
      <c r="C11" s="58" t="s">
        <v>184</v>
      </c>
    </row>
    <row r="12" spans="1:3" s="12" customFormat="1" ht="20.25" customHeight="1">
      <c r="A12" s="58">
        <f t="shared" si="0"/>
        <v>11</v>
      </c>
      <c r="B12" s="59" t="s">
        <v>165</v>
      </c>
      <c r="C12" s="58" t="s">
        <v>186</v>
      </c>
    </row>
    <row r="13" spans="1:3" s="12" customFormat="1" ht="20.25" customHeight="1">
      <c r="A13" s="58">
        <f t="shared" si="0"/>
        <v>12</v>
      </c>
      <c r="B13" s="59" t="s">
        <v>164</v>
      </c>
      <c r="C13" s="58" t="s">
        <v>185</v>
      </c>
    </row>
    <row r="14" spans="1:3" s="12" customFormat="1" ht="20.25" customHeight="1">
      <c r="A14" s="58">
        <f t="shared" si="0"/>
        <v>13</v>
      </c>
      <c r="B14" s="59" t="s">
        <v>166</v>
      </c>
      <c r="C14" s="58" t="s">
        <v>187</v>
      </c>
    </row>
    <row r="15" spans="1:3" s="12" customFormat="1" ht="20.25" customHeight="1">
      <c r="A15" s="58">
        <f t="shared" si="0"/>
        <v>14</v>
      </c>
      <c r="B15" s="59" t="s">
        <v>55</v>
      </c>
      <c r="C15" s="58" t="s">
        <v>188</v>
      </c>
    </row>
    <row r="16" spans="1:3" s="12" customFormat="1" ht="20.25" customHeight="1">
      <c r="A16" s="58">
        <f t="shared" si="0"/>
        <v>15</v>
      </c>
      <c r="B16" s="59" t="s">
        <v>68</v>
      </c>
      <c r="C16" s="58" t="s">
        <v>189</v>
      </c>
    </row>
    <row r="17" spans="1:3" s="12" customFormat="1" ht="20.25" customHeight="1">
      <c r="A17" s="58">
        <f t="shared" si="0"/>
        <v>16</v>
      </c>
      <c r="B17" s="59" t="s">
        <v>167</v>
      </c>
      <c r="C17" s="58" t="s">
        <v>190</v>
      </c>
    </row>
    <row r="18" spans="1:3" s="12" customFormat="1" ht="20.25" customHeight="1">
      <c r="A18" s="58">
        <f t="shared" si="0"/>
        <v>17</v>
      </c>
      <c r="B18" s="59" t="s">
        <v>64</v>
      </c>
      <c r="C18" s="58" t="s">
        <v>191</v>
      </c>
    </row>
    <row r="19" spans="1:3" s="12" customFormat="1" ht="20.25" customHeight="1">
      <c r="A19" s="58">
        <f t="shared" si="0"/>
        <v>18</v>
      </c>
      <c r="B19" s="59" t="s">
        <v>168</v>
      </c>
      <c r="C19" s="58">
        <v>1.2</v>
      </c>
    </row>
    <row r="20" spans="1:3" s="12" customFormat="1" ht="20.25" customHeight="1">
      <c r="A20" s="58">
        <f t="shared" si="0"/>
        <v>19</v>
      </c>
      <c r="B20" s="59" t="s">
        <v>169</v>
      </c>
      <c r="C20" s="58" t="s">
        <v>192</v>
      </c>
    </row>
    <row r="21" spans="1:3" s="12" customFormat="1" ht="20.25" customHeight="1">
      <c r="A21" s="58">
        <f t="shared" si="0"/>
        <v>20</v>
      </c>
      <c r="B21" s="59" t="s">
        <v>170</v>
      </c>
      <c r="C21" s="58" t="s">
        <v>193</v>
      </c>
    </row>
    <row r="22" spans="1:3" s="12" customFormat="1" ht="20.25" customHeight="1">
      <c r="A22" s="58">
        <f t="shared" si="0"/>
        <v>21</v>
      </c>
      <c r="B22" s="59" t="s">
        <v>171</v>
      </c>
      <c r="C22" s="58" t="s">
        <v>194</v>
      </c>
    </row>
    <row r="23" spans="1:3" s="12" customFormat="1" ht="20.25" customHeight="1">
      <c r="A23" s="58">
        <f t="shared" si="0"/>
        <v>22</v>
      </c>
      <c r="B23" s="59" t="s">
        <v>172</v>
      </c>
      <c r="C23" s="58">
        <v>3.3</v>
      </c>
    </row>
    <row r="24" spans="1:3" s="12" customFormat="1" ht="20.25" customHeight="1">
      <c r="A24" s="58">
        <f t="shared" si="0"/>
        <v>23</v>
      </c>
      <c r="B24" s="59" t="s">
        <v>173</v>
      </c>
      <c r="C24" s="58">
        <v>7</v>
      </c>
    </row>
    <row r="25" spans="1:3" s="12" customFormat="1" ht="20.25" customHeight="1">
      <c r="A25" s="58">
        <f t="shared" si="0"/>
        <v>24</v>
      </c>
      <c r="B25" s="59" t="s">
        <v>174</v>
      </c>
      <c r="C25" s="58">
        <v>8</v>
      </c>
    </row>
    <row r="26" spans="1:3" s="12" customFormat="1" ht="20.25" customHeight="1">
      <c r="A26" s="58">
        <f t="shared" si="0"/>
        <v>25</v>
      </c>
      <c r="B26" s="59" t="s">
        <v>175</v>
      </c>
      <c r="C26" s="58">
        <v>9</v>
      </c>
    </row>
    <row r="27" spans="1:3" s="12" customFormat="1" ht="20.25" customHeight="1">
      <c r="A27" s="58">
        <f t="shared" si="0"/>
        <v>26</v>
      </c>
      <c r="B27" s="59" t="s">
        <v>155</v>
      </c>
      <c r="C27" s="58">
        <v>10</v>
      </c>
    </row>
    <row r="28" spans="1:3" s="12" customFormat="1" ht="20.25" customHeight="1"/>
    <row r="29" spans="1:3" s="12" customFormat="1" ht="20.25" customHeight="1"/>
    <row r="30" spans="1:3" s="12" customFormat="1" ht="20.25" customHeight="1"/>
  </sheetData>
  <phoneticPr fontId="3" type="noConversion"/>
  <printOptions horizontalCentered="1"/>
  <pageMargins left="0.75" right="0.75" top="1" bottom="1" header="0.5" footer="0.5"/>
  <pageSetup paperSize="9" orientation="portrait" verticalDpi="4294967295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00B050"/>
  </sheetPr>
  <dimension ref="A1:AF220"/>
  <sheetViews>
    <sheetView topLeftCell="A49" workbookViewId="0">
      <selection activeCell="AH50" sqref="AH50"/>
    </sheetView>
  </sheetViews>
  <sheetFormatPr defaultRowHeight="12.75"/>
  <cols>
    <col min="1" max="1" width="16" customWidth="1"/>
    <col min="2" max="2" width="7.7109375" hidden="1" customWidth="1"/>
    <col min="3" max="3" width="10.140625" hidden="1" customWidth="1"/>
    <col min="4" max="4" width="11.85546875" hidden="1" customWidth="1"/>
    <col min="5" max="5" width="12.42578125" hidden="1" customWidth="1"/>
    <col min="6" max="6" width="6.7109375" hidden="1" customWidth="1"/>
    <col min="7" max="7" width="8.42578125" hidden="1" customWidth="1"/>
    <col min="8" max="8" width="5.28515625" hidden="1" customWidth="1"/>
    <col min="9" max="9" width="6.28515625" hidden="1" customWidth="1"/>
    <col min="10" max="10" width="8.28515625" hidden="1" customWidth="1"/>
    <col min="11" max="11" width="11.7109375" hidden="1" customWidth="1"/>
    <col min="12" max="12" width="10" hidden="1" customWidth="1"/>
    <col min="13" max="13" width="12.5703125" hidden="1" customWidth="1"/>
    <col min="14" max="14" width="13.140625" hidden="1" customWidth="1"/>
    <col min="15" max="16" width="0" hidden="1" customWidth="1"/>
    <col min="17" max="17" width="11.7109375" hidden="1" customWidth="1"/>
    <col min="18" max="19" width="0" hidden="1" customWidth="1"/>
    <col min="20" max="20" width="11" hidden="1" customWidth="1"/>
    <col min="21" max="21" width="10.85546875" hidden="1" customWidth="1"/>
    <col min="22" max="22" width="10.28515625" hidden="1" customWidth="1"/>
    <col min="23" max="23" width="13.28515625" hidden="1" customWidth="1"/>
    <col min="24" max="24" width="10.85546875" bestFit="1" customWidth="1"/>
    <col min="25" max="25" width="8.5703125" bestFit="1" customWidth="1"/>
    <col min="26" max="26" width="8.7109375" bestFit="1" customWidth="1"/>
    <col min="27" max="27" width="13" customWidth="1"/>
    <col min="28" max="28" width="10.85546875" bestFit="1" customWidth="1"/>
    <col min="29" max="29" width="8.5703125" bestFit="1" customWidth="1"/>
    <col min="30" max="30" width="8.7109375" bestFit="1" customWidth="1"/>
    <col min="31" max="31" width="13.28515625" customWidth="1"/>
    <col min="32" max="32" width="8.85546875" bestFit="1" customWidth="1"/>
  </cols>
  <sheetData>
    <row r="1" spans="1:32">
      <c r="A1" s="287" t="s">
        <v>313</v>
      </c>
      <c r="B1" s="287"/>
      <c r="C1" s="30" t="s">
        <v>314</v>
      </c>
      <c r="D1" s="93"/>
      <c r="E1" s="93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7"/>
      <c r="S1" s="7"/>
      <c r="T1" s="7"/>
      <c r="U1" s="7"/>
      <c r="V1" s="7"/>
      <c r="W1" s="7"/>
      <c r="X1" s="7"/>
      <c r="Y1" s="7"/>
      <c r="Z1" s="19"/>
      <c r="AA1" s="19"/>
      <c r="AB1" s="19"/>
      <c r="AC1" s="19"/>
      <c r="AD1" s="19"/>
      <c r="AE1" s="19"/>
      <c r="AF1" s="7"/>
    </row>
    <row r="2" spans="1:32">
      <c r="A2" s="56"/>
      <c r="B2" s="56"/>
      <c r="C2" s="26"/>
      <c r="D2" s="94"/>
      <c r="E2" s="93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7"/>
      <c r="S2" s="7"/>
      <c r="T2" s="7"/>
      <c r="U2" s="7"/>
      <c r="V2" s="7"/>
      <c r="W2" s="7"/>
      <c r="X2" s="7"/>
      <c r="Y2" s="7"/>
      <c r="Z2" s="56"/>
      <c r="AA2" s="56"/>
      <c r="AB2" s="56"/>
      <c r="AC2" s="56"/>
      <c r="AD2" s="56"/>
      <c r="AE2" s="56"/>
      <c r="AF2" s="7"/>
    </row>
    <row r="3" spans="1:32">
      <c r="A3" s="56" t="s">
        <v>17</v>
      </c>
      <c r="B3" s="56"/>
      <c r="C3" s="56"/>
      <c r="D3" s="94"/>
      <c r="E3" s="93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7"/>
      <c r="S3" s="7"/>
      <c r="T3" s="7"/>
      <c r="U3" s="7"/>
      <c r="V3" s="7"/>
      <c r="W3" s="7"/>
      <c r="X3" s="7"/>
      <c r="Y3" s="7"/>
      <c r="Z3" s="56"/>
      <c r="AA3" s="56"/>
      <c r="AB3" s="56"/>
      <c r="AC3" s="56"/>
      <c r="AD3" s="56"/>
      <c r="AE3" s="56"/>
      <c r="AF3" s="7"/>
    </row>
    <row r="4" spans="1:32">
      <c r="A4" s="7"/>
      <c r="B4" s="7"/>
      <c r="C4" s="7"/>
      <c r="D4" s="71"/>
      <c r="E4" s="95"/>
      <c r="F4" s="7"/>
      <c r="G4" s="7"/>
      <c r="H4" s="7"/>
      <c r="I4" s="7"/>
      <c r="J4" s="7"/>
      <c r="K4" s="7"/>
      <c r="L4" s="7"/>
      <c r="M4" s="7" t="s">
        <v>365</v>
      </c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57"/>
      <c r="Z4" s="7"/>
      <c r="AA4" s="7"/>
      <c r="AB4" s="7"/>
      <c r="AC4" s="7"/>
      <c r="AD4" s="7"/>
      <c r="AE4" s="7"/>
      <c r="AF4" s="7"/>
    </row>
    <row r="5" spans="1:32" s="126" customFormat="1">
      <c r="A5" s="288" t="s">
        <v>315</v>
      </c>
      <c r="B5" s="288"/>
      <c r="C5" s="288"/>
      <c r="D5" s="288"/>
      <c r="E5" s="288"/>
      <c r="F5" s="288" t="s">
        <v>316</v>
      </c>
      <c r="G5" s="289"/>
      <c r="H5" s="289"/>
      <c r="I5" s="289"/>
      <c r="J5" s="289"/>
      <c r="K5" s="289"/>
      <c r="L5" s="289"/>
      <c r="M5" s="288" t="s">
        <v>317</v>
      </c>
      <c r="N5" s="290"/>
      <c r="O5" s="290"/>
      <c r="P5" s="290"/>
      <c r="Q5" s="290"/>
      <c r="R5" s="290"/>
      <c r="S5" s="290"/>
      <c r="T5" s="293" t="s">
        <v>318</v>
      </c>
      <c r="U5" s="293"/>
      <c r="V5" s="293"/>
      <c r="W5" s="293"/>
      <c r="X5" s="293" t="s">
        <v>319</v>
      </c>
      <c r="Y5" s="293"/>
      <c r="Z5" s="293" t="s">
        <v>320</v>
      </c>
      <c r="AA5" s="293"/>
      <c r="AB5" s="293" t="s">
        <v>321</v>
      </c>
      <c r="AC5" s="293"/>
      <c r="AD5" s="293" t="s">
        <v>320</v>
      </c>
      <c r="AE5" s="293"/>
      <c r="AF5" s="294" t="s">
        <v>101</v>
      </c>
    </row>
    <row r="6" spans="1:32" s="126" customFormat="1">
      <c r="A6" s="288" t="s">
        <v>322</v>
      </c>
      <c r="B6" s="288" t="s">
        <v>323</v>
      </c>
      <c r="C6" s="288" t="s">
        <v>324</v>
      </c>
      <c r="D6" s="292" t="s">
        <v>384</v>
      </c>
      <c r="E6" s="292" t="s">
        <v>362</v>
      </c>
      <c r="F6" s="288" t="s">
        <v>325</v>
      </c>
      <c r="G6" s="288" t="s">
        <v>326</v>
      </c>
      <c r="H6" s="288" t="s">
        <v>327</v>
      </c>
      <c r="I6" s="288" t="s">
        <v>328</v>
      </c>
      <c r="J6" s="288" t="s">
        <v>329</v>
      </c>
      <c r="K6" s="288" t="s">
        <v>330</v>
      </c>
      <c r="L6" s="288" t="s">
        <v>347</v>
      </c>
      <c r="M6" s="288" t="s">
        <v>331</v>
      </c>
      <c r="N6" s="288" t="s">
        <v>332</v>
      </c>
      <c r="O6" s="288" t="s">
        <v>333</v>
      </c>
      <c r="P6" s="288"/>
      <c r="Q6" s="288"/>
      <c r="R6" s="288"/>
      <c r="S6" s="288"/>
      <c r="T6" s="293" t="s">
        <v>334</v>
      </c>
      <c r="U6" s="293"/>
      <c r="V6" s="293"/>
      <c r="W6" s="293"/>
      <c r="X6" s="293" t="s">
        <v>334</v>
      </c>
      <c r="Y6" s="293"/>
      <c r="Z6" s="293"/>
      <c r="AA6" s="293"/>
      <c r="AB6" s="293"/>
      <c r="AC6" s="293"/>
      <c r="AD6" s="293"/>
      <c r="AE6" s="293"/>
      <c r="AF6" s="294"/>
    </row>
    <row r="7" spans="1:32" s="126" customFormat="1" ht="51">
      <c r="A7" s="288"/>
      <c r="B7" s="288"/>
      <c r="C7" s="288"/>
      <c r="D7" s="292"/>
      <c r="E7" s="292"/>
      <c r="F7" s="291"/>
      <c r="G7" s="291"/>
      <c r="H7" s="291"/>
      <c r="I7" s="291"/>
      <c r="J7" s="291"/>
      <c r="K7" s="291"/>
      <c r="L7" s="291"/>
      <c r="M7" s="289"/>
      <c r="N7" s="288"/>
      <c r="O7" s="101" t="s">
        <v>335</v>
      </c>
      <c r="P7" s="101" t="s">
        <v>336</v>
      </c>
      <c r="Q7" s="101" t="s">
        <v>337</v>
      </c>
      <c r="R7" s="101" t="s">
        <v>338</v>
      </c>
      <c r="S7" s="101" t="s">
        <v>339</v>
      </c>
      <c r="T7" s="101" t="s">
        <v>340</v>
      </c>
      <c r="U7" s="101" t="s">
        <v>341</v>
      </c>
      <c r="V7" s="101" t="s">
        <v>342</v>
      </c>
      <c r="W7" s="101" t="s">
        <v>343</v>
      </c>
      <c r="X7" s="101" t="s">
        <v>344</v>
      </c>
      <c r="Y7" s="101" t="s">
        <v>345</v>
      </c>
      <c r="Z7" s="101" t="s">
        <v>346</v>
      </c>
      <c r="AA7" s="101" t="s">
        <v>343</v>
      </c>
      <c r="AB7" s="101" t="s">
        <v>344</v>
      </c>
      <c r="AC7" s="101" t="s">
        <v>345</v>
      </c>
      <c r="AD7" s="101" t="s">
        <v>346</v>
      </c>
      <c r="AE7" s="101" t="s">
        <v>343</v>
      </c>
      <c r="AF7" s="294"/>
    </row>
    <row r="8" spans="1:32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</row>
    <row r="9" spans="1:32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</row>
    <row r="10" spans="1:32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</row>
    <row r="11" spans="1:32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</row>
    <row r="12" spans="1:32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</row>
    <row r="13" spans="1:32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</row>
    <row r="14" spans="1:32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</row>
    <row r="15" spans="1:32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</row>
    <row r="16" spans="1:32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</row>
    <row r="17" spans="1:32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</row>
    <row r="18" spans="1:32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</row>
    <row r="19" spans="1:32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</row>
    <row r="20" spans="1:32">
      <c r="A20" s="4"/>
      <c r="B20" s="4"/>
      <c r="C20" s="4"/>
      <c r="D20" s="4"/>
      <c r="E20" s="4"/>
      <c r="F20" s="5">
        <f>SUM(F8:F19)</f>
        <v>0</v>
      </c>
      <c r="G20" s="5">
        <f t="shared" ref="G20:AE20" si="0">SUM(G8:G19)</f>
        <v>0</v>
      </c>
      <c r="H20" s="5">
        <f t="shared" si="0"/>
        <v>0</v>
      </c>
      <c r="I20" s="5">
        <f t="shared" si="0"/>
        <v>0</v>
      </c>
      <c r="J20" s="5">
        <f t="shared" si="0"/>
        <v>0</v>
      </c>
      <c r="K20" s="5">
        <f t="shared" si="0"/>
        <v>0</v>
      </c>
      <c r="L20" s="5">
        <f t="shared" si="0"/>
        <v>0</v>
      </c>
      <c r="M20" s="5">
        <f t="shared" si="0"/>
        <v>0</v>
      </c>
      <c r="N20" s="5">
        <f t="shared" si="0"/>
        <v>0</v>
      </c>
      <c r="O20" s="5">
        <f t="shared" si="0"/>
        <v>0</v>
      </c>
      <c r="P20" s="5">
        <f t="shared" si="0"/>
        <v>0</v>
      </c>
      <c r="Q20" s="5">
        <f t="shared" si="0"/>
        <v>0</v>
      </c>
      <c r="R20" s="5">
        <f t="shared" si="0"/>
        <v>0</v>
      </c>
      <c r="S20" s="5">
        <f t="shared" si="0"/>
        <v>0</v>
      </c>
      <c r="T20" s="5">
        <f t="shared" si="0"/>
        <v>0</v>
      </c>
      <c r="U20" s="5">
        <f t="shared" si="0"/>
        <v>0</v>
      </c>
      <c r="V20" s="5">
        <f t="shared" si="0"/>
        <v>0</v>
      </c>
      <c r="W20" s="5">
        <f t="shared" si="0"/>
        <v>0</v>
      </c>
      <c r="X20" s="5">
        <f>5819.91-5348.01+511.59-430.79-Y20-Z20</f>
        <v>482.39999999999958</v>
      </c>
      <c r="Y20" s="5">
        <v>26.97</v>
      </c>
      <c r="Z20" s="5">
        <v>43.33</v>
      </c>
      <c r="AA20" s="5">
        <f t="shared" si="0"/>
        <v>0</v>
      </c>
      <c r="AB20" s="5">
        <f t="shared" si="0"/>
        <v>0</v>
      </c>
      <c r="AC20" s="5">
        <f t="shared" si="0"/>
        <v>0</v>
      </c>
      <c r="AD20" s="5">
        <f t="shared" si="0"/>
        <v>0</v>
      </c>
      <c r="AE20" s="5">
        <f t="shared" si="0"/>
        <v>0</v>
      </c>
      <c r="AF20" s="4"/>
    </row>
    <row r="23" spans="1:32">
      <c r="A23" s="56" t="s">
        <v>18</v>
      </c>
      <c r="B23" s="56"/>
      <c r="C23" s="56"/>
      <c r="D23" s="94"/>
      <c r="E23" s="93"/>
      <c r="F23" s="56"/>
      <c r="G23" s="56"/>
      <c r="H23" s="56"/>
      <c r="I23" s="56"/>
      <c r="J23" s="56"/>
      <c r="K23" s="56"/>
      <c r="L23" s="56"/>
      <c r="M23" s="56"/>
      <c r="N23" s="56"/>
      <c r="O23" s="56"/>
      <c r="P23" s="56"/>
      <c r="Q23" s="56"/>
      <c r="R23" s="7"/>
      <c r="S23" s="7"/>
      <c r="T23" s="7"/>
      <c r="U23" s="7"/>
      <c r="V23" s="7"/>
      <c r="W23" s="7"/>
      <c r="X23" s="7"/>
      <c r="Y23" s="7"/>
      <c r="Z23" s="56"/>
      <c r="AA23" s="56"/>
      <c r="AB23" s="56"/>
      <c r="AC23" s="56"/>
      <c r="AD23" s="56"/>
      <c r="AE23" s="56"/>
      <c r="AF23" s="7"/>
    </row>
    <row r="24" spans="1:32">
      <c r="A24" s="7"/>
      <c r="B24" s="7"/>
      <c r="C24" s="7"/>
      <c r="D24" s="71"/>
      <c r="E24" s="95"/>
      <c r="F24" s="7"/>
      <c r="G24" s="7"/>
      <c r="H24" s="7"/>
      <c r="I24" s="7"/>
      <c r="J24" s="7"/>
      <c r="K24" s="7"/>
      <c r="L24" s="7"/>
      <c r="M24" s="7" t="s">
        <v>365</v>
      </c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57"/>
      <c r="Z24" s="7"/>
      <c r="AA24" s="7"/>
      <c r="AB24" s="7"/>
      <c r="AC24" s="7"/>
      <c r="AD24" s="7"/>
      <c r="AE24" s="7"/>
      <c r="AF24" s="7"/>
    </row>
    <row r="25" spans="1:32">
      <c r="A25" s="288" t="s">
        <v>315</v>
      </c>
      <c r="B25" s="288"/>
      <c r="C25" s="288"/>
      <c r="D25" s="288"/>
      <c r="E25" s="288"/>
      <c r="F25" s="288" t="s">
        <v>316</v>
      </c>
      <c r="G25" s="289"/>
      <c r="H25" s="289"/>
      <c r="I25" s="289"/>
      <c r="J25" s="289"/>
      <c r="K25" s="289"/>
      <c r="L25" s="289"/>
      <c r="M25" s="288" t="s">
        <v>317</v>
      </c>
      <c r="N25" s="290"/>
      <c r="O25" s="290"/>
      <c r="P25" s="290"/>
      <c r="Q25" s="290"/>
      <c r="R25" s="290"/>
      <c r="S25" s="290"/>
      <c r="T25" s="293" t="s">
        <v>318</v>
      </c>
      <c r="U25" s="293"/>
      <c r="V25" s="293"/>
      <c r="W25" s="293"/>
      <c r="X25" s="293" t="s">
        <v>319</v>
      </c>
      <c r="Y25" s="293"/>
      <c r="Z25" s="293" t="s">
        <v>320</v>
      </c>
      <c r="AA25" s="293"/>
      <c r="AB25" s="293" t="s">
        <v>321</v>
      </c>
      <c r="AC25" s="293"/>
      <c r="AD25" s="293" t="s">
        <v>320</v>
      </c>
      <c r="AE25" s="293"/>
      <c r="AF25" s="294" t="s">
        <v>101</v>
      </c>
    </row>
    <row r="26" spans="1:32">
      <c r="A26" s="288" t="s">
        <v>322</v>
      </c>
      <c r="B26" s="288" t="s">
        <v>323</v>
      </c>
      <c r="C26" s="288" t="s">
        <v>324</v>
      </c>
      <c r="D26" s="292" t="s">
        <v>363</v>
      </c>
      <c r="E26" s="292" t="s">
        <v>362</v>
      </c>
      <c r="F26" s="288" t="s">
        <v>325</v>
      </c>
      <c r="G26" s="288" t="s">
        <v>326</v>
      </c>
      <c r="H26" s="288" t="s">
        <v>327</v>
      </c>
      <c r="I26" s="288" t="s">
        <v>328</v>
      </c>
      <c r="J26" s="288" t="s">
        <v>329</v>
      </c>
      <c r="K26" s="288" t="s">
        <v>330</v>
      </c>
      <c r="L26" s="288" t="s">
        <v>347</v>
      </c>
      <c r="M26" s="288" t="s">
        <v>331</v>
      </c>
      <c r="N26" s="288" t="s">
        <v>332</v>
      </c>
      <c r="O26" s="288" t="s">
        <v>333</v>
      </c>
      <c r="P26" s="288"/>
      <c r="Q26" s="288"/>
      <c r="R26" s="288"/>
      <c r="S26" s="288"/>
      <c r="T26" s="293" t="s">
        <v>334</v>
      </c>
      <c r="U26" s="293"/>
      <c r="V26" s="293"/>
      <c r="W26" s="293"/>
      <c r="X26" s="293" t="s">
        <v>334</v>
      </c>
      <c r="Y26" s="293"/>
      <c r="Z26" s="293"/>
      <c r="AA26" s="293"/>
      <c r="AB26" s="293"/>
      <c r="AC26" s="293"/>
      <c r="AD26" s="293"/>
      <c r="AE26" s="293"/>
      <c r="AF26" s="294"/>
    </row>
    <row r="27" spans="1:32" ht="51">
      <c r="A27" s="288"/>
      <c r="B27" s="288"/>
      <c r="C27" s="288"/>
      <c r="D27" s="292"/>
      <c r="E27" s="292"/>
      <c r="F27" s="291"/>
      <c r="G27" s="291"/>
      <c r="H27" s="291"/>
      <c r="I27" s="291"/>
      <c r="J27" s="291"/>
      <c r="K27" s="291"/>
      <c r="L27" s="291"/>
      <c r="M27" s="289"/>
      <c r="N27" s="288"/>
      <c r="O27" s="101" t="s">
        <v>335</v>
      </c>
      <c r="P27" s="101" t="s">
        <v>336</v>
      </c>
      <c r="Q27" s="101" t="s">
        <v>337</v>
      </c>
      <c r="R27" s="101" t="s">
        <v>338</v>
      </c>
      <c r="S27" s="101" t="s">
        <v>339</v>
      </c>
      <c r="T27" s="101" t="s">
        <v>340</v>
      </c>
      <c r="U27" s="101" t="s">
        <v>341</v>
      </c>
      <c r="V27" s="101" t="s">
        <v>342</v>
      </c>
      <c r="W27" s="101" t="s">
        <v>343</v>
      </c>
      <c r="X27" s="101" t="s">
        <v>344</v>
      </c>
      <c r="Y27" s="101" t="s">
        <v>345</v>
      </c>
      <c r="Z27" s="101" t="s">
        <v>346</v>
      </c>
      <c r="AA27" s="101" t="s">
        <v>343</v>
      </c>
      <c r="AB27" s="101" t="s">
        <v>344</v>
      </c>
      <c r="AC27" s="101" t="s">
        <v>345</v>
      </c>
      <c r="AD27" s="101" t="s">
        <v>346</v>
      </c>
      <c r="AE27" s="101" t="s">
        <v>343</v>
      </c>
      <c r="AF27" s="294"/>
    </row>
    <row r="28" spans="1:32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</row>
    <row r="29" spans="1:32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</row>
    <row r="30" spans="1:3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</row>
    <row r="31" spans="1:3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</row>
    <row r="32" spans="1:3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</row>
    <row r="33" spans="1:3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</row>
    <row r="34" spans="1:3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</row>
    <row r="35" spans="1:3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</row>
    <row r="36" spans="1:3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</row>
    <row r="37" spans="1:3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</row>
    <row r="38" spans="1:3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</row>
    <row r="39" spans="1:3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</row>
    <row r="40" spans="1:32">
      <c r="A40" s="4"/>
      <c r="B40" s="4"/>
      <c r="C40" s="4"/>
      <c r="D40" s="4"/>
      <c r="E40" s="4"/>
      <c r="F40" s="5">
        <f t="shared" ref="F40:AE40" si="1">SUM(F28:F39)</f>
        <v>0</v>
      </c>
      <c r="G40" s="5">
        <f t="shared" si="1"/>
        <v>0</v>
      </c>
      <c r="H40" s="5">
        <f t="shared" si="1"/>
        <v>0</v>
      </c>
      <c r="I40" s="5">
        <f t="shared" si="1"/>
        <v>0</v>
      </c>
      <c r="J40" s="5">
        <f t="shared" si="1"/>
        <v>0</v>
      </c>
      <c r="K40" s="5">
        <f t="shared" si="1"/>
        <v>0</v>
      </c>
      <c r="L40" s="5">
        <f t="shared" si="1"/>
        <v>0</v>
      </c>
      <c r="M40" s="5">
        <f t="shared" si="1"/>
        <v>0</v>
      </c>
      <c r="N40" s="5">
        <f t="shared" si="1"/>
        <v>0</v>
      </c>
      <c r="O40" s="5">
        <f t="shared" si="1"/>
        <v>0</v>
      </c>
      <c r="P40" s="5">
        <f t="shared" si="1"/>
        <v>0</v>
      </c>
      <c r="Q40" s="5">
        <f t="shared" si="1"/>
        <v>0</v>
      </c>
      <c r="R40" s="5">
        <f t="shared" si="1"/>
        <v>0</v>
      </c>
      <c r="S40" s="5">
        <f t="shared" si="1"/>
        <v>0</v>
      </c>
      <c r="T40" s="5">
        <f t="shared" si="1"/>
        <v>0</v>
      </c>
      <c r="U40" s="5">
        <f t="shared" si="1"/>
        <v>0</v>
      </c>
      <c r="V40" s="5">
        <f t="shared" si="1"/>
        <v>0</v>
      </c>
      <c r="W40" s="5">
        <f t="shared" si="1"/>
        <v>0</v>
      </c>
      <c r="X40" s="5">
        <f>5573.58-4883.39+2269.05-1646.92-Y40-Z40+0.01-0.08</f>
        <v>1155.6699999999996</v>
      </c>
      <c r="Y40" s="5">
        <v>91.4</v>
      </c>
      <c r="Z40" s="5">
        <v>65.180000000000007</v>
      </c>
      <c r="AA40" s="5">
        <f t="shared" si="1"/>
        <v>0</v>
      </c>
      <c r="AB40" s="5">
        <f t="shared" si="1"/>
        <v>0</v>
      </c>
      <c r="AC40" s="5">
        <f t="shared" si="1"/>
        <v>0</v>
      </c>
      <c r="AD40" s="5">
        <f t="shared" si="1"/>
        <v>0</v>
      </c>
      <c r="AE40" s="5">
        <f t="shared" si="1"/>
        <v>0</v>
      </c>
      <c r="AF40" s="4"/>
    </row>
    <row r="43" spans="1:32">
      <c r="A43" s="56" t="s">
        <v>19</v>
      </c>
      <c r="B43" s="56"/>
      <c r="C43" s="56"/>
      <c r="D43" s="94"/>
      <c r="E43" s="93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6"/>
      <c r="R43" s="7"/>
      <c r="S43" s="7"/>
      <c r="T43" s="7"/>
      <c r="U43" s="7"/>
      <c r="V43" s="7"/>
      <c r="W43" s="7"/>
      <c r="X43" s="7"/>
      <c r="Y43" s="7"/>
      <c r="Z43" s="56"/>
      <c r="AA43" s="56"/>
      <c r="AB43" s="56"/>
      <c r="AC43" s="56"/>
      <c r="AD43" s="56"/>
      <c r="AE43" s="56"/>
      <c r="AF43" s="7"/>
    </row>
    <row r="44" spans="1:32">
      <c r="A44" s="7"/>
      <c r="B44" s="7"/>
      <c r="C44" s="7"/>
      <c r="D44" s="71"/>
      <c r="E44" s="95"/>
      <c r="F44" s="7"/>
      <c r="G44" s="7"/>
      <c r="H44" s="7"/>
      <c r="I44" s="7"/>
      <c r="J44" s="7"/>
      <c r="K44" s="7"/>
      <c r="L44" s="7"/>
      <c r="M44" s="7" t="s">
        <v>365</v>
      </c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57"/>
      <c r="Z44" s="7"/>
      <c r="AA44" s="7"/>
      <c r="AB44" s="7"/>
      <c r="AC44" s="7"/>
      <c r="AD44" s="7"/>
      <c r="AE44" s="7"/>
      <c r="AF44" s="7"/>
    </row>
    <row r="45" spans="1:32">
      <c r="A45" s="288" t="s">
        <v>315</v>
      </c>
      <c r="B45" s="288"/>
      <c r="C45" s="288"/>
      <c r="D45" s="288"/>
      <c r="E45" s="288"/>
      <c r="F45" s="288" t="s">
        <v>316</v>
      </c>
      <c r="G45" s="289"/>
      <c r="H45" s="289"/>
      <c r="I45" s="289"/>
      <c r="J45" s="289"/>
      <c r="K45" s="289"/>
      <c r="L45" s="289"/>
      <c r="M45" s="288" t="s">
        <v>317</v>
      </c>
      <c r="N45" s="290"/>
      <c r="O45" s="290"/>
      <c r="P45" s="290"/>
      <c r="Q45" s="290"/>
      <c r="R45" s="290"/>
      <c r="S45" s="290"/>
      <c r="T45" s="293" t="s">
        <v>318</v>
      </c>
      <c r="U45" s="293"/>
      <c r="V45" s="293"/>
      <c r="W45" s="293"/>
      <c r="X45" s="293" t="s">
        <v>319</v>
      </c>
      <c r="Y45" s="293"/>
      <c r="Z45" s="293" t="s">
        <v>320</v>
      </c>
      <c r="AA45" s="293"/>
      <c r="AB45" s="293" t="s">
        <v>321</v>
      </c>
      <c r="AC45" s="293"/>
      <c r="AD45" s="293" t="s">
        <v>320</v>
      </c>
      <c r="AE45" s="293"/>
      <c r="AF45" s="294" t="s">
        <v>101</v>
      </c>
    </row>
    <row r="46" spans="1:32">
      <c r="A46" s="288" t="s">
        <v>322</v>
      </c>
      <c r="B46" s="288" t="s">
        <v>323</v>
      </c>
      <c r="C46" s="288" t="s">
        <v>324</v>
      </c>
      <c r="D46" s="292" t="s">
        <v>363</v>
      </c>
      <c r="E46" s="292" t="s">
        <v>362</v>
      </c>
      <c r="F46" s="288" t="s">
        <v>325</v>
      </c>
      <c r="G46" s="288" t="s">
        <v>326</v>
      </c>
      <c r="H46" s="288" t="s">
        <v>327</v>
      </c>
      <c r="I46" s="288" t="s">
        <v>328</v>
      </c>
      <c r="J46" s="288" t="s">
        <v>329</v>
      </c>
      <c r="K46" s="288" t="s">
        <v>330</v>
      </c>
      <c r="L46" s="288" t="s">
        <v>347</v>
      </c>
      <c r="M46" s="288" t="s">
        <v>331</v>
      </c>
      <c r="N46" s="288" t="s">
        <v>332</v>
      </c>
      <c r="O46" s="288" t="s">
        <v>333</v>
      </c>
      <c r="P46" s="288"/>
      <c r="Q46" s="288"/>
      <c r="R46" s="288"/>
      <c r="S46" s="288"/>
      <c r="T46" s="293" t="s">
        <v>334</v>
      </c>
      <c r="U46" s="293"/>
      <c r="V46" s="293"/>
      <c r="W46" s="293"/>
      <c r="X46" s="293" t="s">
        <v>334</v>
      </c>
      <c r="Y46" s="293"/>
      <c r="Z46" s="293"/>
      <c r="AA46" s="293"/>
      <c r="AB46" s="293"/>
      <c r="AC46" s="293"/>
      <c r="AD46" s="293"/>
      <c r="AE46" s="293"/>
      <c r="AF46" s="294"/>
    </row>
    <row r="47" spans="1:32" ht="51">
      <c r="A47" s="288"/>
      <c r="B47" s="288"/>
      <c r="C47" s="288"/>
      <c r="D47" s="292"/>
      <c r="E47" s="292"/>
      <c r="F47" s="291"/>
      <c r="G47" s="291"/>
      <c r="H47" s="291"/>
      <c r="I47" s="291"/>
      <c r="J47" s="291"/>
      <c r="K47" s="291"/>
      <c r="L47" s="291"/>
      <c r="M47" s="289"/>
      <c r="N47" s="288"/>
      <c r="O47" s="101" t="s">
        <v>335</v>
      </c>
      <c r="P47" s="101" t="s">
        <v>336</v>
      </c>
      <c r="Q47" s="101" t="s">
        <v>337</v>
      </c>
      <c r="R47" s="101" t="s">
        <v>338</v>
      </c>
      <c r="S47" s="101" t="s">
        <v>339</v>
      </c>
      <c r="T47" s="101" t="s">
        <v>340</v>
      </c>
      <c r="U47" s="101" t="s">
        <v>341</v>
      </c>
      <c r="V47" s="101" t="s">
        <v>342</v>
      </c>
      <c r="W47" s="101" t="s">
        <v>343</v>
      </c>
      <c r="X47" s="101" t="s">
        <v>344</v>
      </c>
      <c r="Y47" s="101" t="s">
        <v>345</v>
      </c>
      <c r="Z47" s="101" t="s">
        <v>346</v>
      </c>
      <c r="AA47" s="101" t="s">
        <v>343</v>
      </c>
      <c r="AB47" s="101" t="s">
        <v>344</v>
      </c>
      <c r="AC47" s="101" t="s">
        <v>345</v>
      </c>
      <c r="AD47" s="101" t="s">
        <v>346</v>
      </c>
      <c r="AE47" s="101" t="s">
        <v>343</v>
      </c>
      <c r="AF47" s="294"/>
    </row>
    <row r="48" spans="1:3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</row>
    <row r="49" spans="1:3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</row>
    <row r="50" spans="1:3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</row>
    <row r="51" spans="1:3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</row>
    <row r="52" spans="1:3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</row>
    <row r="53" spans="1:3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</row>
    <row r="54" spans="1:3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</row>
    <row r="55" spans="1:3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</row>
    <row r="56" spans="1:3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</row>
    <row r="57" spans="1:3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</row>
    <row r="58" spans="1:3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</row>
    <row r="59" spans="1:3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</row>
    <row r="60" spans="1:32">
      <c r="A60" s="4"/>
      <c r="B60" s="4"/>
      <c r="C60" s="4"/>
      <c r="D60" s="4"/>
      <c r="E60" s="4"/>
      <c r="F60" s="5">
        <f t="shared" ref="F60:AE60" si="2">SUM(F48:F59)</f>
        <v>0</v>
      </c>
      <c r="G60" s="5">
        <f t="shared" si="2"/>
        <v>0</v>
      </c>
      <c r="H60" s="5">
        <f t="shared" si="2"/>
        <v>0</v>
      </c>
      <c r="I60" s="5">
        <f t="shared" si="2"/>
        <v>0</v>
      </c>
      <c r="J60" s="5">
        <f t="shared" si="2"/>
        <v>0</v>
      </c>
      <c r="K60" s="5">
        <f t="shared" si="2"/>
        <v>0</v>
      </c>
      <c r="L60" s="5">
        <f t="shared" si="2"/>
        <v>0</v>
      </c>
      <c r="M60" s="5">
        <f t="shared" si="2"/>
        <v>0</v>
      </c>
      <c r="N60" s="5">
        <f t="shared" si="2"/>
        <v>0</v>
      </c>
      <c r="O60" s="5">
        <f t="shared" si="2"/>
        <v>0</v>
      </c>
      <c r="P60" s="5">
        <f t="shared" si="2"/>
        <v>0</v>
      </c>
      <c r="Q60" s="5">
        <f t="shared" si="2"/>
        <v>0</v>
      </c>
      <c r="R60" s="5">
        <f t="shared" si="2"/>
        <v>0</v>
      </c>
      <c r="S60" s="5">
        <f t="shared" si="2"/>
        <v>0</v>
      </c>
      <c r="T60" s="5">
        <f t="shared" si="2"/>
        <v>0</v>
      </c>
      <c r="U60" s="5">
        <f t="shared" si="2"/>
        <v>0</v>
      </c>
      <c r="V60" s="5">
        <f t="shared" si="2"/>
        <v>0</v>
      </c>
      <c r="W60" s="5">
        <f t="shared" si="2"/>
        <v>0</v>
      </c>
      <c r="X60" s="5">
        <f>7110.22-6398.67+1218.8-838.56-Y60-Z60</f>
        <v>965.36000000000024</v>
      </c>
      <c r="Y60" s="5">
        <v>52.03</v>
      </c>
      <c r="Z60" s="5">
        <v>74.400000000000006</v>
      </c>
      <c r="AA60" s="5">
        <f t="shared" si="2"/>
        <v>0</v>
      </c>
      <c r="AB60" s="5">
        <f t="shared" si="2"/>
        <v>0</v>
      </c>
      <c r="AC60" s="5">
        <f t="shared" si="2"/>
        <v>0</v>
      </c>
      <c r="AD60" s="5">
        <f t="shared" si="2"/>
        <v>0</v>
      </c>
      <c r="AE60" s="5">
        <f t="shared" si="2"/>
        <v>0</v>
      </c>
      <c r="AF60" s="4"/>
    </row>
    <row r="63" spans="1:32">
      <c r="A63" s="56" t="s">
        <v>20</v>
      </c>
      <c r="B63" s="56"/>
      <c r="C63" s="56"/>
      <c r="D63" s="94"/>
      <c r="E63" s="93"/>
      <c r="F63" s="56"/>
      <c r="G63" s="56"/>
      <c r="H63" s="56"/>
      <c r="I63" s="56"/>
      <c r="J63" s="56"/>
      <c r="K63" s="56"/>
      <c r="L63" s="56"/>
      <c r="M63" s="56"/>
      <c r="N63" s="56"/>
      <c r="O63" s="56"/>
      <c r="P63" s="56"/>
      <c r="Q63" s="56"/>
      <c r="R63" s="7"/>
      <c r="S63" s="7"/>
      <c r="T63" s="7"/>
      <c r="U63" s="7"/>
      <c r="V63" s="7"/>
      <c r="W63" s="7"/>
      <c r="X63" s="7"/>
      <c r="Y63" s="7"/>
      <c r="Z63" s="56"/>
      <c r="AA63" s="56"/>
      <c r="AB63" s="56"/>
      <c r="AC63" s="56"/>
      <c r="AD63" s="56"/>
      <c r="AE63" s="56"/>
      <c r="AF63" s="7"/>
    </row>
    <row r="64" spans="1:32">
      <c r="A64" s="7"/>
      <c r="B64" s="7"/>
      <c r="C64" s="7"/>
      <c r="D64" s="71"/>
      <c r="E64" s="95"/>
      <c r="F64" s="7"/>
      <c r="G64" s="7"/>
      <c r="H64" s="7"/>
      <c r="I64" s="7"/>
      <c r="J64" s="7"/>
      <c r="K64" s="7"/>
      <c r="L64" s="7"/>
      <c r="M64" s="7" t="s">
        <v>365</v>
      </c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57"/>
      <c r="Z64" s="7"/>
      <c r="AA64" s="7"/>
      <c r="AB64" s="7"/>
      <c r="AC64" s="7"/>
      <c r="AD64" s="7"/>
      <c r="AE64" s="7"/>
      <c r="AF64" s="7"/>
    </row>
    <row r="65" spans="1:32">
      <c r="A65" s="288" t="s">
        <v>315</v>
      </c>
      <c r="B65" s="288"/>
      <c r="C65" s="288"/>
      <c r="D65" s="288"/>
      <c r="E65" s="288"/>
      <c r="F65" s="288" t="s">
        <v>316</v>
      </c>
      <c r="G65" s="289"/>
      <c r="H65" s="289"/>
      <c r="I65" s="289"/>
      <c r="J65" s="289"/>
      <c r="K65" s="289"/>
      <c r="L65" s="289"/>
      <c r="M65" s="288" t="s">
        <v>317</v>
      </c>
      <c r="N65" s="290"/>
      <c r="O65" s="290"/>
      <c r="P65" s="290"/>
      <c r="Q65" s="290"/>
      <c r="R65" s="290"/>
      <c r="S65" s="290"/>
      <c r="T65" s="293" t="s">
        <v>318</v>
      </c>
      <c r="U65" s="293"/>
      <c r="V65" s="293"/>
      <c r="W65" s="293"/>
      <c r="X65" s="293" t="s">
        <v>319</v>
      </c>
      <c r="Y65" s="293"/>
      <c r="Z65" s="293" t="s">
        <v>320</v>
      </c>
      <c r="AA65" s="293"/>
      <c r="AB65" s="293" t="s">
        <v>321</v>
      </c>
      <c r="AC65" s="293"/>
      <c r="AD65" s="293" t="s">
        <v>320</v>
      </c>
      <c r="AE65" s="293"/>
      <c r="AF65" s="294" t="s">
        <v>101</v>
      </c>
    </row>
    <row r="66" spans="1:32">
      <c r="A66" s="288" t="s">
        <v>322</v>
      </c>
      <c r="B66" s="288" t="s">
        <v>323</v>
      </c>
      <c r="C66" s="288" t="s">
        <v>324</v>
      </c>
      <c r="D66" s="292" t="s">
        <v>363</v>
      </c>
      <c r="E66" s="292" t="s">
        <v>362</v>
      </c>
      <c r="F66" s="288" t="s">
        <v>325</v>
      </c>
      <c r="G66" s="288" t="s">
        <v>326</v>
      </c>
      <c r="H66" s="288" t="s">
        <v>327</v>
      </c>
      <c r="I66" s="288" t="s">
        <v>328</v>
      </c>
      <c r="J66" s="288" t="s">
        <v>329</v>
      </c>
      <c r="K66" s="288" t="s">
        <v>330</v>
      </c>
      <c r="L66" s="288" t="s">
        <v>347</v>
      </c>
      <c r="M66" s="288" t="s">
        <v>331</v>
      </c>
      <c r="N66" s="288" t="s">
        <v>332</v>
      </c>
      <c r="O66" s="288" t="s">
        <v>333</v>
      </c>
      <c r="P66" s="288"/>
      <c r="Q66" s="288"/>
      <c r="R66" s="288"/>
      <c r="S66" s="288"/>
      <c r="T66" s="293" t="s">
        <v>334</v>
      </c>
      <c r="U66" s="293"/>
      <c r="V66" s="293"/>
      <c r="W66" s="293"/>
      <c r="X66" s="293" t="s">
        <v>334</v>
      </c>
      <c r="Y66" s="293"/>
      <c r="Z66" s="293"/>
      <c r="AA66" s="293"/>
      <c r="AB66" s="293"/>
      <c r="AC66" s="293"/>
      <c r="AD66" s="293"/>
      <c r="AE66" s="293"/>
      <c r="AF66" s="294"/>
    </row>
    <row r="67" spans="1:32" ht="51">
      <c r="A67" s="288"/>
      <c r="B67" s="288"/>
      <c r="C67" s="288"/>
      <c r="D67" s="292"/>
      <c r="E67" s="292"/>
      <c r="F67" s="291"/>
      <c r="G67" s="291"/>
      <c r="H67" s="291"/>
      <c r="I67" s="291"/>
      <c r="J67" s="291"/>
      <c r="K67" s="291"/>
      <c r="L67" s="291"/>
      <c r="M67" s="289"/>
      <c r="N67" s="288"/>
      <c r="O67" s="101" t="s">
        <v>335</v>
      </c>
      <c r="P67" s="101" t="s">
        <v>336</v>
      </c>
      <c r="Q67" s="101" t="s">
        <v>337</v>
      </c>
      <c r="R67" s="101" t="s">
        <v>338</v>
      </c>
      <c r="S67" s="101" t="s">
        <v>339</v>
      </c>
      <c r="T67" s="101" t="s">
        <v>340</v>
      </c>
      <c r="U67" s="101" t="s">
        <v>341</v>
      </c>
      <c r="V67" s="101" t="s">
        <v>342</v>
      </c>
      <c r="W67" s="101" t="s">
        <v>343</v>
      </c>
      <c r="X67" s="101" t="s">
        <v>344</v>
      </c>
      <c r="Y67" s="101" t="s">
        <v>345</v>
      </c>
      <c r="Z67" s="101" t="s">
        <v>346</v>
      </c>
      <c r="AA67" s="101" t="s">
        <v>343</v>
      </c>
      <c r="AB67" s="101" t="s">
        <v>344</v>
      </c>
      <c r="AC67" s="101" t="s">
        <v>345</v>
      </c>
      <c r="AD67" s="101" t="s">
        <v>346</v>
      </c>
      <c r="AE67" s="101" t="s">
        <v>343</v>
      </c>
      <c r="AF67" s="294"/>
    </row>
    <row r="68" spans="1:3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</row>
    <row r="69" spans="1:3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</row>
    <row r="70" spans="1:3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</row>
    <row r="71" spans="1:3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</row>
    <row r="72" spans="1:3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</row>
    <row r="73" spans="1:3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</row>
    <row r="74" spans="1:3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</row>
    <row r="75" spans="1:3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</row>
    <row r="76" spans="1:3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</row>
    <row r="77" spans="1:3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</row>
    <row r="78" spans="1:3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</row>
    <row r="79" spans="1:3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</row>
    <row r="80" spans="1:32">
      <c r="A80" s="4"/>
      <c r="B80" s="4"/>
      <c r="C80" s="4"/>
      <c r="D80" s="4"/>
      <c r="E80" s="4"/>
      <c r="F80" s="5">
        <f t="shared" ref="F80:AE80" si="3">SUM(F68:F79)</f>
        <v>0</v>
      </c>
      <c r="G80" s="5">
        <f t="shared" si="3"/>
        <v>0</v>
      </c>
      <c r="H80" s="5">
        <f t="shared" si="3"/>
        <v>0</v>
      </c>
      <c r="I80" s="5">
        <f t="shared" si="3"/>
        <v>0</v>
      </c>
      <c r="J80" s="5">
        <f t="shared" si="3"/>
        <v>0</v>
      </c>
      <c r="K80" s="5">
        <f t="shared" si="3"/>
        <v>0</v>
      </c>
      <c r="L80" s="5">
        <f t="shared" si="3"/>
        <v>0</v>
      </c>
      <c r="M80" s="5">
        <f t="shared" si="3"/>
        <v>0</v>
      </c>
      <c r="N80" s="5">
        <f t="shared" si="3"/>
        <v>0</v>
      </c>
      <c r="O80" s="5">
        <f t="shared" si="3"/>
        <v>0</v>
      </c>
      <c r="P80" s="5">
        <f t="shared" si="3"/>
        <v>0</v>
      </c>
      <c r="Q80" s="5">
        <f t="shared" si="3"/>
        <v>0</v>
      </c>
      <c r="R80" s="5">
        <f t="shared" si="3"/>
        <v>0</v>
      </c>
      <c r="S80" s="5">
        <f t="shared" si="3"/>
        <v>0</v>
      </c>
      <c r="T80" s="5">
        <f t="shared" si="3"/>
        <v>0</v>
      </c>
      <c r="U80" s="5">
        <f t="shared" si="3"/>
        <v>0</v>
      </c>
      <c r="V80" s="5">
        <f t="shared" si="3"/>
        <v>0</v>
      </c>
      <c r="W80" s="5">
        <f t="shared" si="3"/>
        <v>0</v>
      </c>
      <c r="X80" s="5">
        <f>7849.06-7110.22+1694.84-1218.8-Y80-Z80</f>
        <v>1041.3600000000004</v>
      </c>
      <c r="Y80" s="5">
        <v>82.97</v>
      </c>
      <c r="Z80" s="5">
        <v>90.55</v>
      </c>
      <c r="AA80" s="5">
        <f t="shared" si="3"/>
        <v>0</v>
      </c>
      <c r="AB80" s="5">
        <f t="shared" si="3"/>
        <v>0</v>
      </c>
      <c r="AC80" s="5">
        <f t="shared" si="3"/>
        <v>0</v>
      </c>
      <c r="AD80" s="5">
        <f t="shared" si="3"/>
        <v>0</v>
      </c>
      <c r="AE80" s="5">
        <f t="shared" si="3"/>
        <v>0</v>
      </c>
      <c r="AF80" s="4"/>
    </row>
    <row r="83" spans="1:32">
      <c r="A83" s="56" t="s">
        <v>21</v>
      </c>
      <c r="B83" s="56"/>
      <c r="C83" s="56"/>
      <c r="D83" s="94"/>
      <c r="E83" s="93"/>
      <c r="F83" s="56"/>
      <c r="G83" s="56"/>
      <c r="H83" s="56"/>
      <c r="I83" s="56"/>
      <c r="J83" s="56"/>
      <c r="K83" s="56"/>
      <c r="L83" s="56"/>
      <c r="M83" s="56"/>
      <c r="N83" s="56"/>
      <c r="O83" s="56"/>
      <c r="P83" s="56"/>
      <c r="Q83" s="56"/>
      <c r="R83" s="7"/>
      <c r="S83" s="7"/>
      <c r="T83" s="7"/>
      <c r="U83" s="7"/>
      <c r="V83" s="7"/>
      <c r="W83" s="7"/>
      <c r="X83" s="7"/>
      <c r="Y83" s="7"/>
      <c r="Z83" s="56"/>
      <c r="AA83" s="56"/>
      <c r="AB83" s="56"/>
      <c r="AC83" s="56"/>
      <c r="AD83" s="56"/>
      <c r="AE83" s="56"/>
      <c r="AF83" s="7"/>
    </row>
    <row r="84" spans="1:32">
      <c r="A84" s="7"/>
      <c r="B84" s="7"/>
      <c r="C84" s="7"/>
      <c r="D84" s="71"/>
      <c r="E84" s="95"/>
      <c r="F84" s="7"/>
      <c r="G84" s="7"/>
      <c r="H84" s="7"/>
      <c r="I84" s="7"/>
      <c r="J84" s="7"/>
      <c r="K84" s="7"/>
      <c r="L84" s="7"/>
      <c r="M84" s="7" t="s">
        <v>365</v>
      </c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57"/>
      <c r="Z84" s="7"/>
      <c r="AA84" s="7"/>
      <c r="AB84" s="7"/>
      <c r="AC84" s="7"/>
      <c r="AD84" s="7"/>
      <c r="AE84" s="7"/>
      <c r="AF84" s="7"/>
    </row>
    <row r="85" spans="1:32">
      <c r="A85" s="288" t="s">
        <v>315</v>
      </c>
      <c r="B85" s="288"/>
      <c r="C85" s="288"/>
      <c r="D85" s="288"/>
      <c r="E85" s="288"/>
      <c r="F85" s="288" t="s">
        <v>316</v>
      </c>
      <c r="G85" s="289"/>
      <c r="H85" s="289"/>
      <c r="I85" s="289"/>
      <c r="J85" s="289"/>
      <c r="K85" s="289"/>
      <c r="L85" s="289"/>
      <c r="M85" s="288" t="s">
        <v>317</v>
      </c>
      <c r="N85" s="290"/>
      <c r="O85" s="290"/>
      <c r="P85" s="290"/>
      <c r="Q85" s="290"/>
      <c r="R85" s="290"/>
      <c r="S85" s="290"/>
      <c r="T85" s="293" t="s">
        <v>318</v>
      </c>
      <c r="U85" s="293"/>
      <c r="V85" s="293"/>
      <c r="W85" s="293"/>
      <c r="X85" s="293" t="s">
        <v>319</v>
      </c>
      <c r="Y85" s="293"/>
      <c r="Z85" s="293" t="s">
        <v>320</v>
      </c>
      <c r="AA85" s="293"/>
      <c r="AB85" s="293" t="s">
        <v>321</v>
      </c>
      <c r="AC85" s="293"/>
      <c r="AD85" s="293" t="s">
        <v>320</v>
      </c>
      <c r="AE85" s="293"/>
      <c r="AF85" s="294" t="s">
        <v>101</v>
      </c>
    </row>
    <row r="86" spans="1:32">
      <c r="A86" s="288" t="s">
        <v>322</v>
      </c>
      <c r="B86" s="288" t="s">
        <v>323</v>
      </c>
      <c r="C86" s="288" t="s">
        <v>324</v>
      </c>
      <c r="D86" s="292" t="s">
        <v>363</v>
      </c>
      <c r="E86" s="292" t="s">
        <v>362</v>
      </c>
      <c r="F86" s="288" t="s">
        <v>325</v>
      </c>
      <c r="G86" s="288" t="s">
        <v>326</v>
      </c>
      <c r="H86" s="288" t="s">
        <v>327</v>
      </c>
      <c r="I86" s="288" t="s">
        <v>328</v>
      </c>
      <c r="J86" s="288" t="s">
        <v>329</v>
      </c>
      <c r="K86" s="288" t="s">
        <v>330</v>
      </c>
      <c r="L86" s="288" t="s">
        <v>347</v>
      </c>
      <c r="M86" s="288" t="s">
        <v>331</v>
      </c>
      <c r="N86" s="288" t="s">
        <v>332</v>
      </c>
      <c r="O86" s="288" t="s">
        <v>333</v>
      </c>
      <c r="P86" s="288"/>
      <c r="Q86" s="288"/>
      <c r="R86" s="288"/>
      <c r="S86" s="288"/>
      <c r="T86" s="293" t="s">
        <v>334</v>
      </c>
      <c r="U86" s="293"/>
      <c r="V86" s="293"/>
      <c r="W86" s="293"/>
      <c r="X86" s="293" t="s">
        <v>334</v>
      </c>
      <c r="Y86" s="293"/>
      <c r="Z86" s="293"/>
      <c r="AA86" s="293"/>
      <c r="AB86" s="293"/>
      <c r="AC86" s="293"/>
      <c r="AD86" s="293"/>
      <c r="AE86" s="293"/>
      <c r="AF86" s="294"/>
    </row>
    <row r="87" spans="1:32" ht="51">
      <c r="A87" s="288"/>
      <c r="B87" s="288"/>
      <c r="C87" s="288"/>
      <c r="D87" s="292"/>
      <c r="E87" s="292"/>
      <c r="F87" s="291"/>
      <c r="G87" s="291"/>
      <c r="H87" s="291"/>
      <c r="I87" s="291"/>
      <c r="J87" s="291"/>
      <c r="K87" s="291"/>
      <c r="L87" s="291"/>
      <c r="M87" s="289"/>
      <c r="N87" s="288"/>
      <c r="O87" s="101" t="s">
        <v>335</v>
      </c>
      <c r="P87" s="101" t="s">
        <v>336</v>
      </c>
      <c r="Q87" s="101" t="s">
        <v>337</v>
      </c>
      <c r="R87" s="101" t="s">
        <v>338</v>
      </c>
      <c r="S87" s="101" t="s">
        <v>339</v>
      </c>
      <c r="T87" s="101" t="s">
        <v>340</v>
      </c>
      <c r="U87" s="101" t="s">
        <v>341</v>
      </c>
      <c r="V87" s="101" t="s">
        <v>342</v>
      </c>
      <c r="W87" s="101" t="s">
        <v>343</v>
      </c>
      <c r="X87" s="101" t="s">
        <v>344</v>
      </c>
      <c r="Y87" s="101" t="s">
        <v>345</v>
      </c>
      <c r="Z87" s="101" t="s">
        <v>346</v>
      </c>
      <c r="AA87" s="101" t="s">
        <v>343</v>
      </c>
      <c r="AB87" s="101" t="s">
        <v>344</v>
      </c>
      <c r="AC87" s="101" t="s">
        <v>345</v>
      </c>
      <c r="AD87" s="101" t="s">
        <v>346</v>
      </c>
      <c r="AE87" s="101" t="s">
        <v>343</v>
      </c>
      <c r="AF87" s="294"/>
    </row>
    <row r="88" spans="1:3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</row>
    <row r="89" spans="1:3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</row>
    <row r="90" spans="1:3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</row>
    <row r="91" spans="1:3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</row>
    <row r="92" spans="1:32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</row>
    <row r="93" spans="1:32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</row>
    <row r="94" spans="1:32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</row>
    <row r="95" spans="1:32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</row>
    <row r="96" spans="1:32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</row>
    <row r="97" spans="1:32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</row>
    <row r="98" spans="1:32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</row>
    <row r="99" spans="1:32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</row>
    <row r="100" spans="1:32">
      <c r="A100" s="4"/>
      <c r="B100" s="4"/>
      <c r="C100" s="4"/>
      <c r="D100" s="4"/>
      <c r="E100" s="4"/>
      <c r="F100" s="5">
        <f t="shared" ref="F100:AE100" si="4">SUM(F88:F99)</f>
        <v>0</v>
      </c>
      <c r="G100" s="5">
        <f t="shared" si="4"/>
        <v>0</v>
      </c>
      <c r="H100" s="5">
        <f t="shared" si="4"/>
        <v>0</v>
      </c>
      <c r="I100" s="5">
        <f t="shared" si="4"/>
        <v>0</v>
      </c>
      <c r="J100" s="5">
        <f t="shared" si="4"/>
        <v>0</v>
      </c>
      <c r="K100" s="5">
        <f t="shared" si="4"/>
        <v>0</v>
      </c>
      <c r="L100" s="5">
        <f t="shared" si="4"/>
        <v>0</v>
      </c>
      <c r="M100" s="5">
        <f t="shared" si="4"/>
        <v>0</v>
      </c>
      <c r="N100" s="5">
        <f t="shared" si="4"/>
        <v>0</v>
      </c>
      <c r="O100" s="5">
        <f t="shared" si="4"/>
        <v>0</v>
      </c>
      <c r="P100" s="5">
        <f t="shared" si="4"/>
        <v>0</v>
      </c>
      <c r="Q100" s="5">
        <f t="shared" si="4"/>
        <v>0</v>
      </c>
      <c r="R100" s="5">
        <f t="shared" si="4"/>
        <v>0</v>
      </c>
      <c r="S100" s="5">
        <f t="shared" si="4"/>
        <v>0</v>
      </c>
      <c r="T100" s="5">
        <f t="shared" si="4"/>
        <v>0</v>
      </c>
      <c r="U100" s="5">
        <f t="shared" si="4"/>
        <v>0</v>
      </c>
      <c r="V100" s="5">
        <f t="shared" si="4"/>
        <v>0</v>
      </c>
      <c r="W100" s="5">
        <f t="shared" si="4"/>
        <v>0</v>
      </c>
      <c r="X100" s="5">
        <f>8979.25-7849.06+1699.79-1694.84-Y100-Z100</f>
        <v>947.36999999999978</v>
      </c>
      <c r="Y100" s="5">
        <v>98.6</v>
      </c>
      <c r="Z100" s="5">
        <v>89.17</v>
      </c>
      <c r="AA100" s="5">
        <f t="shared" si="4"/>
        <v>0</v>
      </c>
      <c r="AB100" s="5">
        <f t="shared" si="4"/>
        <v>0</v>
      </c>
      <c r="AC100" s="5">
        <f t="shared" si="4"/>
        <v>0</v>
      </c>
      <c r="AD100" s="5">
        <f t="shared" si="4"/>
        <v>0</v>
      </c>
      <c r="AE100" s="5">
        <f t="shared" si="4"/>
        <v>0</v>
      </c>
      <c r="AF100" s="4"/>
    </row>
    <row r="103" spans="1:32">
      <c r="A103" s="56" t="s">
        <v>22</v>
      </c>
      <c r="B103" s="56"/>
      <c r="C103" s="56"/>
      <c r="D103" s="94"/>
      <c r="E103" s="93"/>
      <c r="F103" s="56"/>
      <c r="G103" s="56"/>
      <c r="H103" s="56"/>
      <c r="I103" s="56"/>
      <c r="J103" s="56"/>
      <c r="K103" s="56"/>
      <c r="L103" s="56"/>
      <c r="M103" s="56"/>
      <c r="N103" s="56"/>
      <c r="O103" s="56"/>
      <c r="P103" s="56"/>
      <c r="Q103" s="56"/>
      <c r="R103" s="7"/>
      <c r="S103" s="7"/>
      <c r="T103" s="7"/>
      <c r="U103" s="7"/>
      <c r="V103" s="7"/>
      <c r="W103" s="7"/>
      <c r="X103" s="7"/>
      <c r="Y103" s="7"/>
      <c r="Z103" s="56"/>
      <c r="AA103" s="56"/>
      <c r="AB103" s="56"/>
      <c r="AC103" s="56"/>
      <c r="AD103" s="56"/>
      <c r="AE103" s="56"/>
      <c r="AF103" s="7"/>
    </row>
    <row r="104" spans="1:32">
      <c r="A104" s="7"/>
      <c r="B104" s="7"/>
      <c r="C104" s="7"/>
      <c r="D104" s="71"/>
      <c r="E104" s="95"/>
      <c r="F104" s="7"/>
      <c r="G104" s="7"/>
      <c r="H104" s="7"/>
      <c r="I104" s="7"/>
      <c r="J104" s="7"/>
      <c r="K104" s="7"/>
      <c r="L104" s="7"/>
      <c r="M104" s="7" t="s">
        <v>365</v>
      </c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57"/>
      <c r="Z104" s="7"/>
      <c r="AA104" s="7"/>
      <c r="AB104" s="7"/>
      <c r="AC104" s="7"/>
      <c r="AD104" s="7"/>
      <c r="AE104" s="7"/>
      <c r="AF104" s="7"/>
    </row>
    <row r="105" spans="1:32">
      <c r="A105" s="288" t="s">
        <v>315</v>
      </c>
      <c r="B105" s="288"/>
      <c r="C105" s="288"/>
      <c r="D105" s="288"/>
      <c r="E105" s="288"/>
      <c r="F105" s="288" t="s">
        <v>316</v>
      </c>
      <c r="G105" s="289"/>
      <c r="H105" s="289"/>
      <c r="I105" s="289"/>
      <c r="J105" s="289"/>
      <c r="K105" s="289"/>
      <c r="L105" s="289"/>
      <c r="M105" s="288" t="s">
        <v>317</v>
      </c>
      <c r="N105" s="290"/>
      <c r="O105" s="290"/>
      <c r="P105" s="290"/>
      <c r="Q105" s="290"/>
      <c r="R105" s="290"/>
      <c r="S105" s="290"/>
      <c r="T105" s="293" t="s">
        <v>318</v>
      </c>
      <c r="U105" s="293"/>
      <c r="V105" s="293"/>
      <c r="W105" s="293"/>
      <c r="X105" s="293" t="s">
        <v>319</v>
      </c>
      <c r="Y105" s="293"/>
      <c r="Z105" s="293" t="s">
        <v>320</v>
      </c>
      <c r="AA105" s="293"/>
      <c r="AB105" s="293" t="s">
        <v>321</v>
      </c>
      <c r="AC105" s="293"/>
      <c r="AD105" s="293" t="s">
        <v>320</v>
      </c>
      <c r="AE105" s="293"/>
      <c r="AF105" s="294" t="s">
        <v>101</v>
      </c>
    </row>
    <row r="106" spans="1:32">
      <c r="A106" s="288" t="s">
        <v>322</v>
      </c>
      <c r="B106" s="288" t="s">
        <v>323</v>
      </c>
      <c r="C106" s="288" t="s">
        <v>324</v>
      </c>
      <c r="D106" s="292" t="s">
        <v>363</v>
      </c>
      <c r="E106" s="292" t="s">
        <v>362</v>
      </c>
      <c r="F106" s="288" t="s">
        <v>325</v>
      </c>
      <c r="G106" s="288" t="s">
        <v>326</v>
      </c>
      <c r="H106" s="288" t="s">
        <v>327</v>
      </c>
      <c r="I106" s="288" t="s">
        <v>328</v>
      </c>
      <c r="J106" s="288" t="s">
        <v>329</v>
      </c>
      <c r="K106" s="288" t="s">
        <v>330</v>
      </c>
      <c r="L106" s="288" t="s">
        <v>347</v>
      </c>
      <c r="M106" s="288" t="s">
        <v>331</v>
      </c>
      <c r="N106" s="288" t="s">
        <v>332</v>
      </c>
      <c r="O106" s="288" t="s">
        <v>333</v>
      </c>
      <c r="P106" s="288"/>
      <c r="Q106" s="288"/>
      <c r="R106" s="288"/>
      <c r="S106" s="288"/>
      <c r="T106" s="293" t="s">
        <v>334</v>
      </c>
      <c r="U106" s="293"/>
      <c r="V106" s="293"/>
      <c r="W106" s="293"/>
      <c r="X106" s="293" t="s">
        <v>334</v>
      </c>
      <c r="Y106" s="293"/>
      <c r="Z106" s="293"/>
      <c r="AA106" s="293"/>
      <c r="AB106" s="293"/>
      <c r="AC106" s="293"/>
      <c r="AD106" s="293"/>
      <c r="AE106" s="293"/>
      <c r="AF106" s="294"/>
    </row>
    <row r="107" spans="1:32" ht="51">
      <c r="A107" s="288"/>
      <c r="B107" s="288"/>
      <c r="C107" s="288"/>
      <c r="D107" s="292"/>
      <c r="E107" s="292"/>
      <c r="F107" s="291"/>
      <c r="G107" s="291"/>
      <c r="H107" s="291"/>
      <c r="I107" s="291"/>
      <c r="J107" s="291"/>
      <c r="K107" s="291"/>
      <c r="L107" s="291"/>
      <c r="M107" s="289"/>
      <c r="N107" s="288"/>
      <c r="O107" s="101" t="s">
        <v>335</v>
      </c>
      <c r="P107" s="101" t="s">
        <v>336</v>
      </c>
      <c r="Q107" s="101" t="s">
        <v>337</v>
      </c>
      <c r="R107" s="101" t="s">
        <v>338</v>
      </c>
      <c r="S107" s="101" t="s">
        <v>339</v>
      </c>
      <c r="T107" s="101" t="s">
        <v>340</v>
      </c>
      <c r="U107" s="101" t="s">
        <v>341</v>
      </c>
      <c r="V107" s="101" t="s">
        <v>342</v>
      </c>
      <c r="W107" s="101" t="s">
        <v>343</v>
      </c>
      <c r="X107" s="101" t="s">
        <v>344</v>
      </c>
      <c r="Y107" s="101" t="s">
        <v>345</v>
      </c>
      <c r="Z107" s="101" t="s">
        <v>346</v>
      </c>
      <c r="AA107" s="101" t="s">
        <v>343</v>
      </c>
      <c r="AB107" s="101" t="s">
        <v>344</v>
      </c>
      <c r="AC107" s="101" t="s">
        <v>345</v>
      </c>
      <c r="AD107" s="101" t="s">
        <v>346</v>
      </c>
      <c r="AE107" s="101" t="s">
        <v>343</v>
      </c>
      <c r="AF107" s="294"/>
    </row>
    <row r="108" spans="1:32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</row>
    <row r="109" spans="1:32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</row>
    <row r="110" spans="1:32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</row>
    <row r="111" spans="1:32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</row>
    <row r="112" spans="1:32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</row>
    <row r="113" spans="1:32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</row>
    <row r="114" spans="1:32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</row>
    <row r="115" spans="1:32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</row>
    <row r="116" spans="1:32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</row>
    <row r="117" spans="1:32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</row>
    <row r="118" spans="1:32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</row>
    <row r="119" spans="1:32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</row>
    <row r="120" spans="1:32">
      <c r="A120" s="4"/>
      <c r="B120" s="4"/>
      <c r="C120" s="4"/>
      <c r="D120" s="4"/>
      <c r="E120" s="4"/>
      <c r="F120" s="5">
        <f t="shared" ref="F120:AE120" si="5">SUM(F108:F119)</f>
        <v>0</v>
      </c>
      <c r="G120" s="5">
        <f t="shared" si="5"/>
        <v>0</v>
      </c>
      <c r="H120" s="5">
        <f t="shared" si="5"/>
        <v>0</v>
      </c>
      <c r="I120" s="5">
        <f t="shared" si="5"/>
        <v>0</v>
      </c>
      <c r="J120" s="5">
        <f t="shared" si="5"/>
        <v>0</v>
      </c>
      <c r="K120" s="5">
        <f t="shared" si="5"/>
        <v>0</v>
      </c>
      <c r="L120" s="5">
        <f t="shared" si="5"/>
        <v>0</v>
      </c>
      <c r="M120" s="5">
        <f t="shared" si="5"/>
        <v>0</v>
      </c>
      <c r="N120" s="5">
        <f t="shared" si="5"/>
        <v>0</v>
      </c>
      <c r="O120" s="5">
        <f t="shared" si="5"/>
        <v>0</v>
      </c>
      <c r="P120" s="5">
        <f t="shared" si="5"/>
        <v>0</v>
      </c>
      <c r="Q120" s="5">
        <f t="shared" si="5"/>
        <v>0</v>
      </c>
      <c r="R120" s="5">
        <f t="shared" si="5"/>
        <v>0</v>
      </c>
      <c r="S120" s="5">
        <f t="shared" si="5"/>
        <v>0</v>
      </c>
      <c r="T120" s="5">
        <f t="shared" si="5"/>
        <v>0</v>
      </c>
      <c r="U120" s="5">
        <f t="shared" si="5"/>
        <v>0</v>
      </c>
      <c r="V120" s="5">
        <f t="shared" si="5"/>
        <v>0</v>
      </c>
      <c r="W120" s="5">
        <f t="shared" si="5"/>
        <v>0</v>
      </c>
      <c r="X120" s="5">
        <f t="shared" si="5"/>
        <v>0</v>
      </c>
      <c r="Y120" s="5">
        <f t="shared" si="5"/>
        <v>0</v>
      </c>
      <c r="Z120" s="5">
        <f t="shared" si="5"/>
        <v>0</v>
      </c>
      <c r="AA120" s="5">
        <f t="shared" si="5"/>
        <v>0</v>
      </c>
      <c r="AB120" s="5">
        <f t="shared" si="5"/>
        <v>0</v>
      </c>
      <c r="AC120" s="5">
        <f t="shared" si="5"/>
        <v>0</v>
      </c>
      <c r="AD120" s="5">
        <f t="shared" si="5"/>
        <v>0</v>
      </c>
      <c r="AE120" s="5">
        <f t="shared" si="5"/>
        <v>0</v>
      </c>
      <c r="AF120" s="4"/>
    </row>
    <row r="123" spans="1:32">
      <c r="A123" s="56" t="s">
        <v>433</v>
      </c>
      <c r="B123" s="56"/>
      <c r="C123" s="56"/>
      <c r="D123" s="94"/>
      <c r="E123" s="93"/>
      <c r="F123" s="56"/>
      <c r="G123" s="56"/>
      <c r="H123" s="56"/>
      <c r="I123" s="56"/>
      <c r="J123" s="56"/>
      <c r="K123" s="56"/>
      <c r="L123" s="56"/>
      <c r="M123" s="56"/>
      <c r="N123" s="56"/>
      <c r="O123" s="56"/>
      <c r="P123" s="56"/>
      <c r="Q123" s="56"/>
      <c r="R123" s="7"/>
      <c r="S123" s="7"/>
      <c r="T123" s="7"/>
      <c r="U123" s="7"/>
      <c r="V123" s="7"/>
      <c r="W123" s="7"/>
      <c r="X123" s="7"/>
      <c r="Y123" s="7"/>
      <c r="Z123" s="56"/>
      <c r="AA123" s="56"/>
      <c r="AB123" s="56"/>
      <c r="AC123" s="56"/>
      <c r="AD123" s="56"/>
      <c r="AE123" s="56"/>
      <c r="AF123" s="7"/>
    </row>
    <row r="124" spans="1:32">
      <c r="A124" s="7"/>
      <c r="B124" s="7"/>
      <c r="C124" s="7"/>
      <c r="D124" s="71"/>
      <c r="E124" s="95"/>
      <c r="F124" s="7"/>
      <c r="G124" s="7"/>
      <c r="H124" s="7"/>
      <c r="I124" s="7"/>
      <c r="J124" s="7"/>
      <c r="K124" s="7"/>
      <c r="L124" s="7"/>
      <c r="M124" s="7" t="s">
        <v>365</v>
      </c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57"/>
      <c r="Z124" s="7"/>
      <c r="AA124" s="7"/>
      <c r="AB124" s="7"/>
      <c r="AC124" s="7"/>
      <c r="AD124" s="7"/>
      <c r="AE124" s="7"/>
      <c r="AF124" s="7"/>
    </row>
    <row r="125" spans="1:32">
      <c r="A125" s="288" t="s">
        <v>315</v>
      </c>
      <c r="B125" s="288"/>
      <c r="C125" s="288"/>
      <c r="D125" s="288"/>
      <c r="E125" s="288"/>
      <c r="F125" s="288" t="s">
        <v>316</v>
      </c>
      <c r="G125" s="289"/>
      <c r="H125" s="289"/>
      <c r="I125" s="289"/>
      <c r="J125" s="289"/>
      <c r="K125" s="289"/>
      <c r="L125" s="289"/>
      <c r="M125" s="288" t="s">
        <v>317</v>
      </c>
      <c r="N125" s="290"/>
      <c r="O125" s="290"/>
      <c r="P125" s="290"/>
      <c r="Q125" s="290"/>
      <c r="R125" s="290"/>
      <c r="S125" s="290"/>
      <c r="T125" s="293" t="s">
        <v>318</v>
      </c>
      <c r="U125" s="293"/>
      <c r="V125" s="293"/>
      <c r="W125" s="293"/>
      <c r="X125" s="293" t="s">
        <v>319</v>
      </c>
      <c r="Y125" s="293"/>
      <c r="Z125" s="293" t="s">
        <v>320</v>
      </c>
      <c r="AA125" s="293"/>
      <c r="AB125" s="293" t="s">
        <v>321</v>
      </c>
      <c r="AC125" s="293"/>
      <c r="AD125" s="293" t="s">
        <v>320</v>
      </c>
      <c r="AE125" s="293"/>
      <c r="AF125" s="294" t="s">
        <v>101</v>
      </c>
    </row>
    <row r="126" spans="1:32">
      <c r="A126" s="288" t="s">
        <v>322</v>
      </c>
      <c r="B126" s="288" t="s">
        <v>323</v>
      </c>
      <c r="C126" s="288" t="s">
        <v>324</v>
      </c>
      <c r="D126" s="292" t="s">
        <v>363</v>
      </c>
      <c r="E126" s="292" t="s">
        <v>362</v>
      </c>
      <c r="F126" s="288" t="s">
        <v>325</v>
      </c>
      <c r="G126" s="288" t="s">
        <v>326</v>
      </c>
      <c r="H126" s="288" t="s">
        <v>327</v>
      </c>
      <c r="I126" s="288" t="s">
        <v>328</v>
      </c>
      <c r="J126" s="288" t="s">
        <v>329</v>
      </c>
      <c r="K126" s="288" t="s">
        <v>330</v>
      </c>
      <c r="L126" s="288" t="s">
        <v>347</v>
      </c>
      <c r="M126" s="288" t="s">
        <v>331</v>
      </c>
      <c r="N126" s="288" t="s">
        <v>332</v>
      </c>
      <c r="O126" s="288" t="s">
        <v>333</v>
      </c>
      <c r="P126" s="288"/>
      <c r="Q126" s="288"/>
      <c r="R126" s="288"/>
      <c r="S126" s="288"/>
      <c r="T126" s="293" t="s">
        <v>334</v>
      </c>
      <c r="U126" s="293"/>
      <c r="V126" s="293"/>
      <c r="W126" s="293"/>
      <c r="X126" s="293" t="s">
        <v>334</v>
      </c>
      <c r="Y126" s="293"/>
      <c r="Z126" s="293"/>
      <c r="AA126" s="293"/>
      <c r="AB126" s="293"/>
      <c r="AC126" s="293"/>
      <c r="AD126" s="293"/>
      <c r="AE126" s="293"/>
      <c r="AF126" s="294"/>
    </row>
    <row r="127" spans="1:32" ht="51">
      <c r="A127" s="288"/>
      <c r="B127" s="288"/>
      <c r="C127" s="288"/>
      <c r="D127" s="292"/>
      <c r="E127" s="292"/>
      <c r="F127" s="291"/>
      <c r="G127" s="291"/>
      <c r="H127" s="291"/>
      <c r="I127" s="291"/>
      <c r="J127" s="291"/>
      <c r="K127" s="291"/>
      <c r="L127" s="291"/>
      <c r="M127" s="289"/>
      <c r="N127" s="288"/>
      <c r="O127" s="101" t="s">
        <v>335</v>
      </c>
      <c r="P127" s="101" t="s">
        <v>336</v>
      </c>
      <c r="Q127" s="101" t="s">
        <v>337</v>
      </c>
      <c r="R127" s="101" t="s">
        <v>338</v>
      </c>
      <c r="S127" s="101" t="s">
        <v>339</v>
      </c>
      <c r="T127" s="101" t="s">
        <v>340</v>
      </c>
      <c r="U127" s="101" t="s">
        <v>341</v>
      </c>
      <c r="V127" s="101" t="s">
        <v>342</v>
      </c>
      <c r="W127" s="101" t="s">
        <v>343</v>
      </c>
      <c r="X127" s="101" t="s">
        <v>344</v>
      </c>
      <c r="Y127" s="101" t="s">
        <v>345</v>
      </c>
      <c r="Z127" s="101" t="s">
        <v>346</v>
      </c>
      <c r="AA127" s="101" t="s">
        <v>343</v>
      </c>
      <c r="AB127" s="101" t="s">
        <v>344</v>
      </c>
      <c r="AC127" s="101" t="s">
        <v>345</v>
      </c>
      <c r="AD127" s="101" t="s">
        <v>346</v>
      </c>
      <c r="AE127" s="101" t="s">
        <v>343</v>
      </c>
      <c r="AF127" s="294"/>
    </row>
    <row r="128" spans="1:32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</row>
    <row r="129" spans="1:32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</row>
    <row r="130" spans="1:32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</row>
    <row r="131" spans="1:32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</row>
    <row r="132" spans="1:32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</row>
    <row r="133" spans="1:32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</row>
    <row r="134" spans="1:32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</row>
    <row r="135" spans="1:32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</row>
    <row r="136" spans="1:32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</row>
    <row r="137" spans="1:32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</row>
    <row r="138" spans="1:32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</row>
    <row r="139" spans="1:32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</row>
    <row r="140" spans="1:32">
      <c r="A140" s="4"/>
      <c r="B140" s="4"/>
      <c r="C140" s="4"/>
      <c r="D140" s="4"/>
      <c r="E140" s="4"/>
      <c r="F140" s="5">
        <f t="shared" ref="F140:AE140" si="6">SUM(F128:F139)</f>
        <v>0</v>
      </c>
      <c r="G140" s="5">
        <f t="shared" si="6"/>
        <v>0</v>
      </c>
      <c r="H140" s="5">
        <f t="shared" si="6"/>
        <v>0</v>
      </c>
      <c r="I140" s="5">
        <f t="shared" si="6"/>
        <v>0</v>
      </c>
      <c r="J140" s="5">
        <f t="shared" si="6"/>
        <v>0</v>
      </c>
      <c r="K140" s="5">
        <f t="shared" si="6"/>
        <v>0</v>
      </c>
      <c r="L140" s="5">
        <f t="shared" si="6"/>
        <v>0</v>
      </c>
      <c r="M140" s="5">
        <f t="shared" si="6"/>
        <v>0</v>
      </c>
      <c r="N140" s="5">
        <f t="shared" si="6"/>
        <v>0</v>
      </c>
      <c r="O140" s="5">
        <f t="shared" si="6"/>
        <v>0</v>
      </c>
      <c r="P140" s="5">
        <f t="shared" si="6"/>
        <v>0</v>
      </c>
      <c r="Q140" s="5">
        <f t="shared" si="6"/>
        <v>0</v>
      </c>
      <c r="R140" s="5">
        <f t="shared" si="6"/>
        <v>0</v>
      </c>
      <c r="S140" s="5">
        <f t="shared" si="6"/>
        <v>0</v>
      </c>
      <c r="T140" s="5">
        <f t="shared" si="6"/>
        <v>0</v>
      </c>
      <c r="U140" s="5">
        <f t="shared" si="6"/>
        <v>0</v>
      </c>
      <c r="V140" s="5">
        <f t="shared" si="6"/>
        <v>0</v>
      </c>
      <c r="W140" s="5">
        <f t="shared" si="6"/>
        <v>0</v>
      </c>
      <c r="X140" s="5">
        <f t="shared" si="6"/>
        <v>0</v>
      </c>
      <c r="Y140" s="5">
        <f t="shared" si="6"/>
        <v>0</v>
      </c>
      <c r="Z140" s="5">
        <f t="shared" si="6"/>
        <v>0</v>
      </c>
      <c r="AA140" s="5">
        <f t="shared" si="6"/>
        <v>0</v>
      </c>
      <c r="AB140" s="5">
        <f t="shared" si="6"/>
        <v>0</v>
      </c>
      <c r="AC140" s="5">
        <f t="shared" si="6"/>
        <v>0</v>
      </c>
      <c r="AD140" s="5">
        <f t="shared" si="6"/>
        <v>0</v>
      </c>
      <c r="AE140" s="5">
        <f t="shared" si="6"/>
        <v>0</v>
      </c>
      <c r="AF140" s="4"/>
    </row>
    <row r="143" spans="1:32">
      <c r="A143" s="56" t="s">
        <v>434</v>
      </c>
      <c r="B143" s="56"/>
      <c r="C143" s="56"/>
      <c r="D143" s="94"/>
      <c r="E143" s="93"/>
      <c r="F143" s="56"/>
      <c r="G143" s="56"/>
      <c r="H143" s="56"/>
      <c r="I143" s="56"/>
      <c r="J143" s="56"/>
      <c r="K143" s="56"/>
      <c r="L143" s="56"/>
      <c r="M143" s="56"/>
      <c r="N143" s="56"/>
      <c r="O143" s="56"/>
      <c r="P143" s="56"/>
      <c r="Q143" s="56"/>
      <c r="R143" s="7"/>
      <c r="S143" s="7"/>
      <c r="T143" s="7"/>
      <c r="U143" s="7"/>
      <c r="V143" s="7"/>
      <c r="W143" s="7"/>
      <c r="X143" s="7"/>
      <c r="Y143" s="7"/>
      <c r="Z143" s="56"/>
      <c r="AA143" s="56"/>
      <c r="AB143" s="56"/>
      <c r="AC143" s="56"/>
      <c r="AD143" s="56"/>
      <c r="AE143" s="56"/>
      <c r="AF143" s="7"/>
    </row>
    <row r="144" spans="1:32">
      <c r="A144" s="7"/>
      <c r="B144" s="7"/>
      <c r="C144" s="7"/>
      <c r="D144" s="71"/>
      <c r="E144" s="95"/>
      <c r="F144" s="7"/>
      <c r="G144" s="7"/>
      <c r="H144" s="7"/>
      <c r="I144" s="7"/>
      <c r="J144" s="7"/>
      <c r="K144" s="7"/>
      <c r="L144" s="7"/>
      <c r="M144" s="7" t="s">
        <v>365</v>
      </c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57"/>
      <c r="Z144" s="7"/>
      <c r="AA144" s="7"/>
      <c r="AB144" s="7"/>
      <c r="AC144" s="7"/>
      <c r="AD144" s="7"/>
      <c r="AE144" s="7"/>
      <c r="AF144" s="7"/>
    </row>
    <row r="145" spans="1:32">
      <c r="A145" s="288" t="s">
        <v>315</v>
      </c>
      <c r="B145" s="288"/>
      <c r="C145" s="288"/>
      <c r="D145" s="288"/>
      <c r="E145" s="288"/>
      <c r="F145" s="288" t="s">
        <v>316</v>
      </c>
      <c r="G145" s="289"/>
      <c r="H145" s="289"/>
      <c r="I145" s="289"/>
      <c r="J145" s="289"/>
      <c r="K145" s="289"/>
      <c r="L145" s="289"/>
      <c r="M145" s="288" t="s">
        <v>317</v>
      </c>
      <c r="N145" s="290"/>
      <c r="O145" s="290"/>
      <c r="P145" s="290"/>
      <c r="Q145" s="290"/>
      <c r="R145" s="290"/>
      <c r="S145" s="290"/>
      <c r="T145" s="293" t="s">
        <v>318</v>
      </c>
      <c r="U145" s="293"/>
      <c r="V145" s="293"/>
      <c r="W145" s="293"/>
      <c r="X145" s="293" t="s">
        <v>319</v>
      </c>
      <c r="Y145" s="293"/>
      <c r="Z145" s="293" t="s">
        <v>320</v>
      </c>
      <c r="AA145" s="293"/>
      <c r="AB145" s="293" t="s">
        <v>321</v>
      </c>
      <c r="AC145" s="293"/>
      <c r="AD145" s="293" t="s">
        <v>320</v>
      </c>
      <c r="AE145" s="293"/>
      <c r="AF145" s="294" t="s">
        <v>101</v>
      </c>
    </row>
    <row r="146" spans="1:32">
      <c r="A146" s="288" t="s">
        <v>322</v>
      </c>
      <c r="B146" s="288" t="s">
        <v>323</v>
      </c>
      <c r="C146" s="288" t="s">
        <v>324</v>
      </c>
      <c r="D146" s="292" t="s">
        <v>363</v>
      </c>
      <c r="E146" s="292" t="s">
        <v>362</v>
      </c>
      <c r="F146" s="288" t="s">
        <v>325</v>
      </c>
      <c r="G146" s="288" t="s">
        <v>326</v>
      </c>
      <c r="H146" s="288" t="s">
        <v>327</v>
      </c>
      <c r="I146" s="288" t="s">
        <v>328</v>
      </c>
      <c r="J146" s="288" t="s">
        <v>329</v>
      </c>
      <c r="K146" s="288" t="s">
        <v>330</v>
      </c>
      <c r="L146" s="288" t="s">
        <v>347</v>
      </c>
      <c r="M146" s="288" t="s">
        <v>331</v>
      </c>
      <c r="N146" s="288" t="s">
        <v>332</v>
      </c>
      <c r="O146" s="288" t="s">
        <v>333</v>
      </c>
      <c r="P146" s="288"/>
      <c r="Q146" s="288"/>
      <c r="R146" s="288"/>
      <c r="S146" s="288"/>
      <c r="T146" s="293" t="s">
        <v>334</v>
      </c>
      <c r="U146" s="293"/>
      <c r="V146" s="293"/>
      <c r="W146" s="293"/>
      <c r="X146" s="293" t="s">
        <v>334</v>
      </c>
      <c r="Y146" s="293"/>
      <c r="Z146" s="293"/>
      <c r="AA146" s="293"/>
      <c r="AB146" s="293"/>
      <c r="AC146" s="293"/>
      <c r="AD146" s="293"/>
      <c r="AE146" s="293"/>
      <c r="AF146" s="294"/>
    </row>
    <row r="147" spans="1:32" ht="51">
      <c r="A147" s="288"/>
      <c r="B147" s="288"/>
      <c r="C147" s="288"/>
      <c r="D147" s="292"/>
      <c r="E147" s="292"/>
      <c r="F147" s="291"/>
      <c r="G147" s="291"/>
      <c r="H147" s="291"/>
      <c r="I147" s="291"/>
      <c r="J147" s="291"/>
      <c r="K147" s="291"/>
      <c r="L147" s="291"/>
      <c r="M147" s="289"/>
      <c r="N147" s="288"/>
      <c r="O147" s="101" t="s">
        <v>335</v>
      </c>
      <c r="P147" s="101" t="s">
        <v>336</v>
      </c>
      <c r="Q147" s="101" t="s">
        <v>337</v>
      </c>
      <c r="R147" s="101" t="s">
        <v>338</v>
      </c>
      <c r="S147" s="101" t="s">
        <v>339</v>
      </c>
      <c r="T147" s="101" t="s">
        <v>340</v>
      </c>
      <c r="U147" s="101" t="s">
        <v>341</v>
      </c>
      <c r="V147" s="101" t="s">
        <v>342</v>
      </c>
      <c r="W147" s="101" t="s">
        <v>343</v>
      </c>
      <c r="X147" s="101" t="s">
        <v>344</v>
      </c>
      <c r="Y147" s="101" t="s">
        <v>345</v>
      </c>
      <c r="Z147" s="101" t="s">
        <v>346</v>
      </c>
      <c r="AA147" s="101" t="s">
        <v>343</v>
      </c>
      <c r="AB147" s="101" t="s">
        <v>344</v>
      </c>
      <c r="AC147" s="101" t="s">
        <v>345</v>
      </c>
      <c r="AD147" s="101" t="s">
        <v>346</v>
      </c>
      <c r="AE147" s="101" t="s">
        <v>343</v>
      </c>
      <c r="AF147" s="294"/>
    </row>
    <row r="148" spans="1:32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</row>
    <row r="149" spans="1:32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</row>
    <row r="150" spans="1:32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</row>
    <row r="151" spans="1:32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</row>
    <row r="152" spans="1:32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</row>
    <row r="153" spans="1:32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</row>
    <row r="154" spans="1:32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</row>
    <row r="155" spans="1:32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</row>
    <row r="156" spans="1:32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</row>
    <row r="157" spans="1:32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</row>
    <row r="158" spans="1:32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</row>
    <row r="159" spans="1:32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</row>
    <row r="160" spans="1:32">
      <c r="A160" s="4"/>
      <c r="B160" s="4"/>
      <c r="C160" s="4"/>
      <c r="D160" s="4"/>
      <c r="E160" s="4"/>
      <c r="F160" s="5">
        <f t="shared" ref="F160:AE160" si="7">SUM(F148:F159)</f>
        <v>0</v>
      </c>
      <c r="G160" s="5">
        <f t="shared" si="7"/>
        <v>0</v>
      </c>
      <c r="H160" s="5">
        <f t="shared" si="7"/>
        <v>0</v>
      </c>
      <c r="I160" s="5">
        <f t="shared" si="7"/>
        <v>0</v>
      </c>
      <c r="J160" s="5">
        <f t="shared" si="7"/>
        <v>0</v>
      </c>
      <c r="K160" s="5">
        <f t="shared" si="7"/>
        <v>0</v>
      </c>
      <c r="L160" s="5">
        <f t="shared" si="7"/>
        <v>0</v>
      </c>
      <c r="M160" s="5">
        <f t="shared" si="7"/>
        <v>0</v>
      </c>
      <c r="N160" s="5">
        <f t="shared" si="7"/>
        <v>0</v>
      </c>
      <c r="O160" s="5">
        <f t="shared" si="7"/>
        <v>0</v>
      </c>
      <c r="P160" s="5">
        <f t="shared" si="7"/>
        <v>0</v>
      </c>
      <c r="Q160" s="5">
        <f t="shared" si="7"/>
        <v>0</v>
      </c>
      <c r="R160" s="5">
        <f t="shared" si="7"/>
        <v>0</v>
      </c>
      <c r="S160" s="5">
        <f t="shared" si="7"/>
        <v>0</v>
      </c>
      <c r="T160" s="5">
        <f t="shared" si="7"/>
        <v>0</v>
      </c>
      <c r="U160" s="5">
        <f t="shared" si="7"/>
        <v>0</v>
      </c>
      <c r="V160" s="5">
        <f t="shared" si="7"/>
        <v>0</v>
      </c>
      <c r="W160" s="5">
        <f t="shared" si="7"/>
        <v>0</v>
      </c>
      <c r="X160" s="5">
        <f t="shared" si="7"/>
        <v>0</v>
      </c>
      <c r="Y160" s="5">
        <f t="shared" si="7"/>
        <v>0</v>
      </c>
      <c r="Z160" s="5">
        <f t="shared" si="7"/>
        <v>0</v>
      </c>
      <c r="AA160" s="5">
        <f t="shared" si="7"/>
        <v>0</v>
      </c>
      <c r="AB160" s="5">
        <f t="shared" si="7"/>
        <v>0</v>
      </c>
      <c r="AC160" s="5">
        <f t="shared" si="7"/>
        <v>0</v>
      </c>
      <c r="AD160" s="5">
        <f t="shared" si="7"/>
        <v>0</v>
      </c>
      <c r="AE160" s="5">
        <f t="shared" si="7"/>
        <v>0</v>
      </c>
      <c r="AF160" s="4"/>
    </row>
    <row r="163" spans="1:32">
      <c r="A163" s="56" t="s">
        <v>435</v>
      </c>
      <c r="B163" s="56"/>
      <c r="C163" s="56"/>
      <c r="D163" s="94"/>
      <c r="E163" s="93"/>
      <c r="F163" s="56"/>
      <c r="G163" s="56"/>
      <c r="H163" s="56"/>
      <c r="I163" s="56"/>
      <c r="J163" s="56"/>
      <c r="K163" s="56"/>
      <c r="L163" s="56"/>
      <c r="M163" s="56"/>
      <c r="N163" s="56"/>
      <c r="O163" s="56"/>
      <c r="P163" s="56"/>
      <c r="Q163" s="56"/>
      <c r="R163" s="7"/>
      <c r="S163" s="7"/>
      <c r="T163" s="7"/>
      <c r="U163" s="7"/>
      <c r="V163" s="7"/>
      <c r="W163" s="7"/>
      <c r="X163" s="7"/>
      <c r="Y163" s="7"/>
      <c r="Z163" s="56"/>
      <c r="AA163" s="56"/>
      <c r="AB163" s="56"/>
      <c r="AC163" s="56"/>
      <c r="AD163" s="56"/>
      <c r="AE163" s="56"/>
      <c r="AF163" s="7"/>
    </row>
    <row r="164" spans="1:32">
      <c r="A164" s="7"/>
      <c r="B164" s="7"/>
      <c r="C164" s="7"/>
      <c r="D164" s="71"/>
      <c r="E164" s="95"/>
      <c r="F164" s="7"/>
      <c r="G164" s="7"/>
      <c r="H164" s="7"/>
      <c r="I164" s="7"/>
      <c r="J164" s="7"/>
      <c r="K164" s="7"/>
      <c r="L164" s="7"/>
      <c r="M164" s="7" t="s">
        <v>365</v>
      </c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57"/>
      <c r="Z164" s="7"/>
      <c r="AA164" s="7"/>
      <c r="AB164" s="7"/>
      <c r="AC164" s="7"/>
      <c r="AD164" s="7"/>
      <c r="AE164" s="7"/>
      <c r="AF164" s="7"/>
    </row>
    <row r="165" spans="1:32">
      <c r="A165" s="288" t="s">
        <v>315</v>
      </c>
      <c r="B165" s="288"/>
      <c r="C165" s="288"/>
      <c r="D165" s="288"/>
      <c r="E165" s="288"/>
      <c r="F165" s="288" t="s">
        <v>316</v>
      </c>
      <c r="G165" s="289"/>
      <c r="H165" s="289"/>
      <c r="I165" s="289"/>
      <c r="J165" s="289"/>
      <c r="K165" s="289"/>
      <c r="L165" s="289"/>
      <c r="M165" s="288" t="s">
        <v>317</v>
      </c>
      <c r="N165" s="290"/>
      <c r="O165" s="290"/>
      <c r="P165" s="290"/>
      <c r="Q165" s="290"/>
      <c r="R165" s="290"/>
      <c r="S165" s="290"/>
      <c r="T165" s="293" t="s">
        <v>318</v>
      </c>
      <c r="U165" s="293"/>
      <c r="V165" s="293"/>
      <c r="W165" s="293"/>
      <c r="X165" s="293" t="s">
        <v>319</v>
      </c>
      <c r="Y165" s="293"/>
      <c r="Z165" s="293" t="s">
        <v>320</v>
      </c>
      <c r="AA165" s="293"/>
      <c r="AB165" s="293" t="s">
        <v>321</v>
      </c>
      <c r="AC165" s="293"/>
      <c r="AD165" s="293" t="s">
        <v>320</v>
      </c>
      <c r="AE165" s="293"/>
      <c r="AF165" s="294" t="s">
        <v>101</v>
      </c>
    </row>
    <row r="166" spans="1:32">
      <c r="A166" s="288" t="s">
        <v>322</v>
      </c>
      <c r="B166" s="288" t="s">
        <v>323</v>
      </c>
      <c r="C166" s="288" t="s">
        <v>324</v>
      </c>
      <c r="D166" s="292" t="s">
        <v>363</v>
      </c>
      <c r="E166" s="292" t="s">
        <v>362</v>
      </c>
      <c r="F166" s="288" t="s">
        <v>325</v>
      </c>
      <c r="G166" s="288" t="s">
        <v>326</v>
      </c>
      <c r="H166" s="288" t="s">
        <v>327</v>
      </c>
      <c r="I166" s="288" t="s">
        <v>328</v>
      </c>
      <c r="J166" s="288" t="s">
        <v>329</v>
      </c>
      <c r="K166" s="288" t="s">
        <v>330</v>
      </c>
      <c r="L166" s="288" t="s">
        <v>347</v>
      </c>
      <c r="M166" s="288" t="s">
        <v>331</v>
      </c>
      <c r="N166" s="288" t="s">
        <v>332</v>
      </c>
      <c r="O166" s="288" t="s">
        <v>333</v>
      </c>
      <c r="P166" s="288"/>
      <c r="Q166" s="288"/>
      <c r="R166" s="288"/>
      <c r="S166" s="288"/>
      <c r="T166" s="293" t="s">
        <v>334</v>
      </c>
      <c r="U166" s="293"/>
      <c r="V166" s="293"/>
      <c r="W166" s="293"/>
      <c r="X166" s="293" t="s">
        <v>334</v>
      </c>
      <c r="Y166" s="293"/>
      <c r="Z166" s="293"/>
      <c r="AA166" s="293"/>
      <c r="AB166" s="293"/>
      <c r="AC166" s="293"/>
      <c r="AD166" s="293"/>
      <c r="AE166" s="293"/>
      <c r="AF166" s="294"/>
    </row>
    <row r="167" spans="1:32" ht="51">
      <c r="A167" s="288"/>
      <c r="B167" s="288"/>
      <c r="C167" s="288"/>
      <c r="D167" s="292"/>
      <c r="E167" s="292"/>
      <c r="F167" s="291"/>
      <c r="G167" s="291"/>
      <c r="H167" s="291"/>
      <c r="I167" s="291"/>
      <c r="J167" s="291"/>
      <c r="K167" s="291"/>
      <c r="L167" s="291"/>
      <c r="M167" s="289"/>
      <c r="N167" s="288"/>
      <c r="O167" s="101" t="s">
        <v>335</v>
      </c>
      <c r="P167" s="101" t="s">
        <v>336</v>
      </c>
      <c r="Q167" s="101" t="s">
        <v>337</v>
      </c>
      <c r="R167" s="101" t="s">
        <v>338</v>
      </c>
      <c r="S167" s="101" t="s">
        <v>339</v>
      </c>
      <c r="T167" s="101" t="s">
        <v>340</v>
      </c>
      <c r="U167" s="101" t="s">
        <v>341</v>
      </c>
      <c r="V167" s="101" t="s">
        <v>342</v>
      </c>
      <c r="W167" s="101" t="s">
        <v>343</v>
      </c>
      <c r="X167" s="101" t="s">
        <v>344</v>
      </c>
      <c r="Y167" s="101" t="s">
        <v>345</v>
      </c>
      <c r="Z167" s="101" t="s">
        <v>346</v>
      </c>
      <c r="AA167" s="101" t="s">
        <v>343</v>
      </c>
      <c r="AB167" s="101" t="s">
        <v>344</v>
      </c>
      <c r="AC167" s="101" t="s">
        <v>345</v>
      </c>
      <c r="AD167" s="101" t="s">
        <v>346</v>
      </c>
      <c r="AE167" s="101" t="s">
        <v>343</v>
      </c>
      <c r="AF167" s="294"/>
    </row>
    <row r="168" spans="1:32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</row>
    <row r="169" spans="1:32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</row>
    <row r="170" spans="1:32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</row>
    <row r="171" spans="1:32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</row>
    <row r="172" spans="1:32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</row>
    <row r="173" spans="1:32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</row>
    <row r="174" spans="1:32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</row>
    <row r="175" spans="1:32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</row>
    <row r="176" spans="1:32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</row>
    <row r="177" spans="1:32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</row>
    <row r="178" spans="1:32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</row>
    <row r="179" spans="1:32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</row>
    <row r="180" spans="1:32">
      <c r="A180" s="4"/>
      <c r="B180" s="4"/>
      <c r="C180" s="4"/>
      <c r="D180" s="4"/>
      <c r="E180" s="4"/>
      <c r="F180" s="5">
        <f t="shared" ref="F180:AE180" si="8">SUM(F168:F179)</f>
        <v>0</v>
      </c>
      <c r="G180" s="5">
        <f t="shared" si="8"/>
        <v>0</v>
      </c>
      <c r="H180" s="5">
        <f t="shared" si="8"/>
        <v>0</v>
      </c>
      <c r="I180" s="5">
        <f t="shared" si="8"/>
        <v>0</v>
      </c>
      <c r="J180" s="5">
        <f t="shared" si="8"/>
        <v>0</v>
      </c>
      <c r="K180" s="5">
        <f t="shared" si="8"/>
        <v>0</v>
      </c>
      <c r="L180" s="5">
        <f t="shared" si="8"/>
        <v>0</v>
      </c>
      <c r="M180" s="5">
        <f t="shared" si="8"/>
        <v>0</v>
      </c>
      <c r="N180" s="5">
        <f t="shared" si="8"/>
        <v>0</v>
      </c>
      <c r="O180" s="5">
        <f t="shared" si="8"/>
        <v>0</v>
      </c>
      <c r="P180" s="5">
        <f t="shared" si="8"/>
        <v>0</v>
      </c>
      <c r="Q180" s="5">
        <f t="shared" si="8"/>
        <v>0</v>
      </c>
      <c r="R180" s="5">
        <f t="shared" si="8"/>
        <v>0</v>
      </c>
      <c r="S180" s="5">
        <f t="shared" si="8"/>
        <v>0</v>
      </c>
      <c r="T180" s="5">
        <f t="shared" si="8"/>
        <v>0</v>
      </c>
      <c r="U180" s="5">
        <f t="shared" si="8"/>
        <v>0</v>
      </c>
      <c r="V180" s="5">
        <f t="shared" si="8"/>
        <v>0</v>
      </c>
      <c r="W180" s="5">
        <f t="shared" si="8"/>
        <v>0</v>
      </c>
      <c r="X180" s="5">
        <f t="shared" si="8"/>
        <v>0</v>
      </c>
      <c r="Y180" s="5">
        <f t="shared" si="8"/>
        <v>0</v>
      </c>
      <c r="Z180" s="5">
        <f t="shared" si="8"/>
        <v>0</v>
      </c>
      <c r="AA180" s="5">
        <f t="shared" si="8"/>
        <v>0</v>
      </c>
      <c r="AB180" s="5">
        <f t="shared" si="8"/>
        <v>0</v>
      </c>
      <c r="AC180" s="5">
        <f t="shared" si="8"/>
        <v>0</v>
      </c>
      <c r="AD180" s="5">
        <f t="shared" si="8"/>
        <v>0</v>
      </c>
      <c r="AE180" s="5">
        <f t="shared" si="8"/>
        <v>0</v>
      </c>
      <c r="AF180" s="4"/>
    </row>
    <row r="183" spans="1:32">
      <c r="A183" s="56" t="s">
        <v>436</v>
      </c>
      <c r="B183" s="56"/>
      <c r="C183" s="56"/>
      <c r="D183" s="94"/>
      <c r="E183" s="93"/>
      <c r="F183" s="56"/>
      <c r="G183" s="56"/>
      <c r="H183" s="56"/>
      <c r="I183" s="56"/>
      <c r="J183" s="56"/>
      <c r="K183" s="56"/>
      <c r="L183" s="56"/>
      <c r="M183" s="56"/>
      <c r="N183" s="56"/>
      <c r="O183" s="56"/>
      <c r="P183" s="56"/>
      <c r="Q183" s="56"/>
      <c r="R183" s="7"/>
      <c r="S183" s="7"/>
      <c r="T183" s="7"/>
      <c r="U183" s="7"/>
      <c r="V183" s="7"/>
      <c r="W183" s="7"/>
      <c r="X183" s="7"/>
      <c r="Y183" s="7"/>
      <c r="Z183" s="56"/>
      <c r="AA183" s="56"/>
      <c r="AB183" s="56"/>
      <c r="AC183" s="56"/>
      <c r="AD183" s="56"/>
      <c r="AE183" s="56"/>
      <c r="AF183" s="7"/>
    </row>
    <row r="184" spans="1:32">
      <c r="A184" s="7"/>
      <c r="B184" s="7"/>
      <c r="C184" s="7"/>
      <c r="D184" s="71"/>
      <c r="E184" s="95"/>
      <c r="F184" s="7"/>
      <c r="G184" s="7"/>
      <c r="H184" s="7"/>
      <c r="I184" s="7"/>
      <c r="J184" s="7"/>
      <c r="K184" s="7"/>
      <c r="L184" s="7"/>
      <c r="M184" s="7" t="s">
        <v>365</v>
      </c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57"/>
      <c r="Z184" s="7"/>
      <c r="AA184" s="7"/>
      <c r="AB184" s="7"/>
      <c r="AC184" s="7"/>
      <c r="AD184" s="7"/>
      <c r="AE184" s="7"/>
      <c r="AF184" s="7"/>
    </row>
    <row r="185" spans="1:32">
      <c r="A185" s="288" t="s">
        <v>315</v>
      </c>
      <c r="B185" s="288"/>
      <c r="C185" s="288"/>
      <c r="D185" s="288"/>
      <c r="E185" s="288"/>
      <c r="F185" s="288" t="s">
        <v>316</v>
      </c>
      <c r="G185" s="289"/>
      <c r="H185" s="289"/>
      <c r="I185" s="289"/>
      <c r="J185" s="289"/>
      <c r="K185" s="289"/>
      <c r="L185" s="289"/>
      <c r="M185" s="288" t="s">
        <v>317</v>
      </c>
      <c r="N185" s="290"/>
      <c r="O185" s="290"/>
      <c r="P185" s="290"/>
      <c r="Q185" s="290"/>
      <c r="R185" s="290"/>
      <c r="S185" s="290"/>
      <c r="T185" s="293" t="s">
        <v>318</v>
      </c>
      <c r="U185" s="293"/>
      <c r="V185" s="293"/>
      <c r="W185" s="293"/>
      <c r="X185" s="293" t="s">
        <v>319</v>
      </c>
      <c r="Y185" s="293"/>
      <c r="Z185" s="293" t="s">
        <v>320</v>
      </c>
      <c r="AA185" s="293"/>
      <c r="AB185" s="293" t="s">
        <v>321</v>
      </c>
      <c r="AC185" s="293"/>
      <c r="AD185" s="293" t="s">
        <v>320</v>
      </c>
      <c r="AE185" s="293"/>
      <c r="AF185" s="294" t="s">
        <v>101</v>
      </c>
    </row>
    <row r="186" spans="1:32">
      <c r="A186" s="288" t="s">
        <v>322</v>
      </c>
      <c r="B186" s="288" t="s">
        <v>323</v>
      </c>
      <c r="C186" s="288" t="s">
        <v>324</v>
      </c>
      <c r="D186" s="292" t="s">
        <v>363</v>
      </c>
      <c r="E186" s="292" t="s">
        <v>362</v>
      </c>
      <c r="F186" s="288" t="s">
        <v>325</v>
      </c>
      <c r="G186" s="288" t="s">
        <v>326</v>
      </c>
      <c r="H186" s="288" t="s">
        <v>327</v>
      </c>
      <c r="I186" s="288" t="s">
        <v>328</v>
      </c>
      <c r="J186" s="288" t="s">
        <v>329</v>
      </c>
      <c r="K186" s="288" t="s">
        <v>330</v>
      </c>
      <c r="L186" s="288" t="s">
        <v>347</v>
      </c>
      <c r="M186" s="288" t="s">
        <v>331</v>
      </c>
      <c r="N186" s="288" t="s">
        <v>332</v>
      </c>
      <c r="O186" s="288" t="s">
        <v>333</v>
      </c>
      <c r="P186" s="288"/>
      <c r="Q186" s="288"/>
      <c r="R186" s="288"/>
      <c r="S186" s="288"/>
      <c r="T186" s="293" t="s">
        <v>334</v>
      </c>
      <c r="U186" s="293"/>
      <c r="V186" s="293"/>
      <c r="W186" s="293"/>
      <c r="X186" s="293" t="s">
        <v>334</v>
      </c>
      <c r="Y186" s="293"/>
      <c r="Z186" s="293"/>
      <c r="AA186" s="293"/>
      <c r="AB186" s="293"/>
      <c r="AC186" s="293"/>
      <c r="AD186" s="293"/>
      <c r="AE186" s="293"/>
      <c r="AF186" s="294"/>
    </row>
    <row r="187" spans="1:32" ht="51">
      <c r="A187" s="288"/>
      <c r="B187" s="288"/>
      <c r="C187" s="288"/>
      <c r="D187" s="292"/>
      <c r="E187" s="292"/>
      <c r="F187" s="291"/>
      <c r="G187" s="291"/>
      <c r="H187" s="291"/>
      <c r="I187" s="291"/>
      <c r="J187" s="291"/>
      <c r="K187" s="291"/>
      <c r="L187" s="291"/>
      <c r="M187" s="289"/>
      <c r="N187" s="288"/>
      <c r="O187" s="101" t="s">
        <v>335</v>
      </c>
      <c r="P187" s="101" t="s">
        <v>336</v>
      </c>
      <c r="Q187" s="101" t="s">
        <v>337</v>
      </c>
      <c r="R187" s="101" t="s">
        <v>338</v>
      </c>
      <c r="S187" s="101" t="s">
        <v>339</v>
      </c>
      <c r="T187" s="101" t="s">
        <v>340</v>
      </c>
      <c r="U187" s="101" t="s">
        <v>341</v>
      </c>
      <c r="V187" s="101" t="s">
        <v>342</v>
      </c>
      <c r="W187" s="101" t="s">
        <v>343</v>
      </c>
      <c r="X187" s="101" t="s">
        <v>344</v>
      </c>
      <c r="Y187" s="101" t="s">
        <v>345</v>
      </c>
      <c r="Z187" s="101" t="s">
        <v>346</v>
      </c>
      <c r="AA187" s="101" t="s">
        <v>343</v>
      </c>
      <c r="AB187" s="101" t="s">
        <v>344</v>
      </c>
      <c r="AC187" s="101" t="s">
        <v>345</v>
      </c>
      <c r="AD187" s="101" t="s">
        <v>346</v>
      </c>
      <c r="AE187" s="101" t="s">
        <v>343</v>
      </c>
      <c r="AF187" s="294"/>
    </row>
    <row r="188" spans="1:32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</row>
    <row r="189" spans="1:32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</row>
    <row r="190" spans="1:32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</row>
    <row r="191" spans="1:32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</row>
    <row r="192" spans="1:32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</row>
    <row r="193" spans="1:32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  <c r="AE193" s="4"/>
      <c r="AF193" s="4"/>
    </row>
    <row r="194" spans="1:32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4"/>
      <c r="AF194" s="4"/>
    </row>
    <row r="195" spans="1:32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D195" s="4"/>
      <c r="AE195" s="4"/>
      <c r="AF195" s="4"/>
    </row>
    <row r="196" spans="1:32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  <c r="AE196" s="4"/>
      <c r="AF196" s="4"/>
    </row>
    <row r="197" spans="1:32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</row>
    <row r="198" spans="1:32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</row>
    <row r="199" spans="1:32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</row>
    <row r="200" spans="1:32">
      <c r="A200" s="4"/>
      <c r="B200" s="4"/>
      <c r="C200" s="4"/>
      <c r="D200" s="4"/>
      <c r="E200" s="4"/>
      <c r="F200" s="5">
        <f t="shared" ref="F200:AE200" si="9">SUM(F188:F199)</f>
        <v>0</v>
      </c>
      <c r="G200" s="5">
        <f t="shared" si="9"/>
        <v>0</v>
      </c>
      <c r="H200" s="5">
        <f t="shared" si="9"/>
        <v>0</v>
      </c>
      <c r="I200" s="5">
        <f t="shared" si="9"/>
        <v>0</v>
      </c>
      <c r="J200" s="5">
        <f t="shared" si="9"/>
        <v>0</v>
      </c>
      <c r="K200" s="5">
        <f t="shared" si="9"/>
        <v>0</v>
      </c>
      <c r="L200" s="5">
        <f t="shared" si="9"/>
        <v>0</v>
      </c>
      <c r="M200" s="5">
        <f t="shared" si="9"/>
        <v>0</v>
      </c>
      <c r="N200" s="5">
        <f t="shared" si="9"/>
        <v>0</v>
      </c>
      <c r="O200" s="5">
        <f t="shared" si="9"/>
        <v>0</v>
      </c>
      <c r="P200" s="5">
        <f t="shared" si="9"/>
        <v>0</v>
      </c>
      <c r="Q200" s="5">
        <f t="shared" si="9"/>
        <v>0</v>
      </c>
      <c r="R200" s="5">
        <f t="shared" si="9"/>
        <v>0</v>
      </c>
      <c r="S200" s="5">
        <f t="shared" si="9"/>
        <v>0</v>
      </c>
      <c r="T200" s="5">
        <f t="shared" si="9"/>
        <v>0</v>
      </c>
      <c r="U200" s="5">
        <f t="shared" si="9"/>
        <v>0</v>
      </c>
      <c r="V200" s="5">
        <f t="shared" si="9"/>
        <v>0</v>
      </c>
      <c r="W200" s="5">
        <f t="shared" si="9"/>
        <v>0</v>
      </c>
      <c r="X200" s="5">
        <f t="shared" si="9"/>
        <v>0</v>
      </c>
      <c r="Y200" s="5">
        <f t="shared" si="9"/>
        <v>0</v>
      </c>
      <c r="Z200" s="5">
        <f t="shared" si="9"/>
        <v>0</v>
      </c>
      <c r="AA200" s="5">
        <f t="shared" si="9"/>
        <v>0</v>
      </c>
      <c r="AB200" s="5">
        <f t="shared" si="9"/>
        <v>0</v>
      </c>
      <c r="AC200" s="5">
        <f t="shared" si="9"/>
        <v>0</v>
      </c>
      <c r="AD200" s="5">
        <f t="shared" si="9"/>
        <v>0</v>
      </c>
      <c r="AE200" s="5">
        <f t="shared" si="9"/>
        <v>0</v>
      </c>
      <c r="AF200" s="4"/>
    </row>
    <row r="203" spans="1:32">
      <c r="A203" s="56" t="s">
        <v>437</v>
      </c>
      <c r="B203" s="56"/>
      <c r="C203" s="56"/>
      <c r="D203" s="94"/>
      <c r="E203" s="93"/>
      <c r="F203" s="56"/>
      <c r="G203" s="56"/>
      <c r="H203" s="56"/>
      <c r="I203" s="56"/>
      <c r="J203" s="56"/>
      <c r="K203" s="56"/>
      <c r="L203" s="56"/>
      <c r="M203" s="56"/>
      <c r="N203" s="56"/>
      <c r="O203" s="56"/>
      <c r="P203" s="56"/>
      <c r="Q203" s="56"/>
      <c r="R203" s="7"/>
      <c r="S203" s="7"/>
      <c r="T203" s="7"/>
      <c r="U203" s="7"/>
      <c r="V203" s="7"/>
      <c r="W203" s="7"/>
      <c r="X203" s="7"/>
      <c r="Y203" s="7"/>
      <c r="Z203" s="56"/>
      <c r="AA203" s="56"/>
      <c r="AB203" s="56"/>
      <c r="AC203" s="56"/>
      <c r="AD203" s="56"/>
      <c r="AE203" s="56"/>
      <c r="AF203" s="7"/>
    </row>
    <row r="204" spans="1:32">
      <c r="A204" s="7"/>
      <c r="B204" s="7"/>
      <c r="C204" s="7"/>
      <c r="D204" s="71"/>
      <c r="E204" s="95"/>
      <c r="F204" s="7"/>
      <c r="G204" s="7"/>
      <c r="H204" s="7"/>
      <c r="I204" s="7"/>
      <c r="J204" s="7"/>
      <c r="K204" s="7"/>
      <c r="L204" s="7"/>
      <c r="M204" s="7" t="s">
        <v>365</v>
      </c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57"/>
      <c r="Z204" s="7"/>
      <c r="AA204" s="7"/>
      <c r="AB204" s="7"/>
      <c r="AC204" s="7"/>
      <c r="AD204" s="7"/>
      <c r="AE204" s="7"/>
      <c r="AF204" s="7"/>
    </row>
    <row r="205" spans="1:32">
      <c r="A205" s="288" t="s">
        <v>315</v>
      </c>
      <c r="B205" s="288"/>
      <c r="C205" s="288"/>
      <c r="D205" s="288"/>
      <c r="E205" s="288"/>
      <c r="F205" s="288" t="s">
        <v>316</v>
      </c>
      <c r="G205" s="289"/>
      <c r="H205" s="289"/>
      <c r="I205" s="289"/>
      <c r="J205" s="289"/>
      <c r="K205" s="289"/>
      <c r="L205" s="289"/>
      <c r="M205" s="288" t="s">
        <v>317</v>
      </c>
      <c r="N205" s="290"/>
      <c r="O205" s="290"/>
      <c r="P205" s="290"/>
      <c r="Q205" s="290"/>
      <c r="R205" s="290"/>
      <c r="S205" s="290"/>
      <c r="T205" s="293" t="s">
        <v>318</v>
      </c>
      <c r="U205" s="293"/>
      <c r="V205" s="293"/>
      <c r="W205" s="293"/>
      <c r="X205" s="293" t="s">
        <v>319</v>
      </c>
      <c r="Y205" s="293"/>
      <c r="Z205" s="293" t="s">
        <v>320</v>
      </c>
      <c r="AA205" s="293"/>
      <c r="AB205" s="293" t="s">
        <v>321</v>
      </c>
      <c r="AC205" s="293"/>
      <c r="AD205" s="293" t="s">
        <v>320</v>
      </c>
      <c r="AE205" s="293"/>
      <c r="AF205" s="294" t="s">
        <v>101</v>
      </c>
    </row>
    <row r="206" spans="1:32">
      <c r="A206" s="288" t="s">
        <v>322</v>
      </c>
      <c r="B206" s="288" t="s">
        <v>323</v>
      </c>
      <c r="C206" s="288" t="s">
        <v>324</v>
      </c>
      <c r="D206" s="292" t="s">
        <v>363</v>
      </c>
      <c r="E206" s="292" t="s">
        <v>362</v>
      </c>
      <c r="F206" s="288" t="s">
        <v>325</v>
      </c>
      <c r="G206" s="288" t="s">
        <v>326</v>
      </c>
      <c r="H206" s="288" t="s">
        <v>327</v>
      </c>
      <c r="I206" s="288" t="s">
        <v>328</v>
      </c>
      <c r="J206" s="288" t="s">
        <v>329</v>
      </c>
      <c r="K206" s="288" t="s">
        <v>330</v>
      </c>
      <c r="L206" s="288" t="s">
        <v>347</v>
      </c>
      <c r="M206" s="288" t="s">
        <v>331</v>
      </c>
      <c r="N206" s="288" t="s">
        <v>332</v>
      </c>
      <c r="O206" s="288" t="s">
        <v>333</v>
      </c>
      <c r="P206" s="288"/>
      <c r="Q206" s="288"/>
      <c r="R206" s="288"/>
      <c r="S206" s="288"/>
      <c r="T206" s="293" t="s">
        <v>334</v>
      </c>
      <c r="U206" s="293"/>
      <c r="V206" s="293"/>
      <c r="W206" s="293"/>
      <c r="X206" s="293" t="s">
        <v>334</v>
      </c>
      <c r="Y206" s="293"/>
      <c r="Z206" s="293"/>
      <c r="AA206" s="293"/>
      <c r="AB206" s="293"/>
      <c r="AC206" s="293"/>
      <c r="AD206" s="293"/>
      <c r="AE206" s="293"/>
      <c r="AF206" s="294"/>
    </row>
    <row r="207" spans="1:32" ht="51">
      <c r="A207" s="288"/>
      <c r="B207" s="288"/>
      <c r="C207" s="288"/>
      <c r="D207" s="292"/>
      <c r="E207" s="292"/>
      <c r="F207" s="291"/>
      <c r="G207" s="291"/>
      <c r="H207" s="291"/>
      <c r="I207" s="291"/>
      <c r="J207" s="291"/>
      <c r="K207" s="291"/>
      <c r="L207" s="291"/>
      <c r="M207" s="289"/>
      <c r="N207" s="288"/>
      <c r="O207" s="101" t="s">
        <v>335</v>
      </c>
      <c r="P207" s="101" t="s">
        <v>336</v>
      </c>
      <c r="Q207" s="101" t="s">
        <v>337</v>
      </c>
      <c r="R207" s="101" t="s">
        <v>338</v>
      </c>
      <c r="S207" s="101" t="s">
        <v>339</v>
      </c>
      <c r="T207" s="101" t="s">
        <v>340</v>
      </c>
      <c r="U207" s="101" t="s">
        <v>341</v>
      </c>
      <c r="V207" s="101" t="s">
        <v>342</v>
      </c>
      <c r="W207" s="101" t="s">
        <v>343</v>
      </c>
      <c r="X207" s="101" t="s">
        <v>344</v>
      </c>
      <c r="Y207" s="101" t="s">
        <v>345</v>
      </c>
      <c r="Z207" s="101" t="s">
        <v>346</v>
      </c>
      <c r="AA207" s="101" t="s">
        <v>343</v>
      </c>
      <c r="AB207" s="101" t="s">
        <v>344</v>
      </c>
      <c r="AC207" s="101" t="s">
        <v>345</v>
      </c>
      <c r="AD207" s="101" t="s">
        <v>346</v>
      </c>
      <c r="AE207" s="101" t="s">
        <v>343</v>
      </c>
      <c r="AF207" s="294"/>
    </row>
    <row r="208" spans="1:32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  <c r="AD208" s="4"/>
      <c r="AE208" s="4"/>
      <c r="AF208" s="4"/>
    </row>
    <row r="209" spans="1:32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  <c r="AD209" s="4"/>
      <c r="AE209" s="4"/>
      <c r="AF209" s="4"/>
    </row>
    <row r="210" spans="1:32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  <c r="AD210" s="4"/>
      <c r="AE210" s="4"/>
      <c r="AF210" s="4"/>
    </row>
    <row r="211" spans="1:32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  <c r="AD211" s="4"/>
      <c r="AE211" s="4"/>
      <c r="AF211" s="4"/>
    </row>
    <row r="212" spans="1:32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/>
      <c r="AF212" s="4"/>
    </row>
    <row r="213" spans="1:32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  <c r="AD213" s="4"/>
      <c r="AE213" s="4"/>
      <c r="AF213" s="4"/>
    </row>
    <row r="214" spans="1:32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  <c r="AD214" s="4"/>
      <c r="AE214" s="4"/>
      <c r="AF214" s="4"/>
    </row>
    <row r="215" spans="1:32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</row>
    <row r="216" spans="1:32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  <c r="AD216" s="4"/>
      <c r="AE216" s="4"/>
      <c r="AF216" s="4"/>
    </row>
    <row r="217" spans="1:32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  <c r="AD217" s="4"/>
      <c r="AE217" s="4"/>
      <c r="AF217" s="4"/>
    </row>
    <row r="218" spans="1:32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  <c r="AD218" s="4"/>
      <c r="AE218" s="4"/>
      <c r="AF218" s="4"/>
    </row>
    <row r="219" spans="1:32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  <c r="AD219" s="4"/>
      <c r="AE219" s="4"/>
      <c r="AF219" s="4"/>
    </row>
    <row r="220" spans="1:32">
      <c r="A220" s="4"/>
      <c r="B220" s="4"/>
      <c r="C220" s="4"/>
      <c r="D220" s="4"/>
      <c r="E220" s="4"/>
      <c r="F220" s="5">
        <f t="shared" ref="F220:AE220" si="10">SUM(F208:F219)</f>
        <v>0</v>
      </c>
      <c r="G220" s="5">
        <f t="shared" si="10"/>
        <v>0</v>
      </c>
      <c r="H220" s="5">
        <f t="shared" si="10"/>
        <v>0</v>
      </c>
      <c r="I220" s="5">
        <f t="shared" si="10"/>
        <v>0</v>
      </c>
      <c r="J220" s="5">
        <f t="shared" si="10"/>
        <v>0</v>
      </c>
      <c r="K220" s="5">
        <f t="shared" si="10"/>
        <v>0</v>
      </c>
      <c r="L220" s="5">
        <f t="shared" si="10"/>
        <v>0</v>
      </c>
      <c r="M220" s="5">
        <f t="shared" si="10"/>
        <v>0</v>
      </c>
      <c r="N220" s="5">
        <f t="shared" si="10"/>
        <v>0</v>
      </c>
      <c r="O220" s="5">
        <f t="shared" si="10"/>
        <v>0</v>
      </c>
      <c r="P220" s="5">
        <f t="shared" si="10"/>
        <v>0</v>
      </c>
      <c r="Q220" s="5">
        <f t="shared" si="10"/>
        <v>0</v>
      </c>
      <c r="R220" s="5">
        <f t="shared" si="10"/>
        <v>0</v>
      </c>
      <c r="S220" s="5">
        <f t="shared" si="10"/>
        <v>0</v>
      </c>
      <c r="T220" s="5">
        <f t="shared" si="10"/>
        <v>0</v>
      </c>
      <c r="U220" s="5">
        <f t="shared" si="10"/>
        <v>0</v>
      </c>
      <c r="V220" s="5">
        <f t="shared" si="10"/>
        <v>0</v>
      </c>
      <c r="W220" s="5">
        <f t="shared" si="10"/>
        <v>0</v>
      </c>
      <c r="X220" s="5">
        <f t="shared" si="10"/>
        <v>0</v>
      </c>
      <c r="Y220" s="5">
        <f t="shared" si="10"/>
        <v>0</v>
      </c>
      <c r="Z220" s="5">
        <f t="shared" si="10"/>
        <v>0</v>
      </c>
      <c r="AA220" s="5">
        <f t="shared" si="10"/>
        <v>0</v>
      </c>
      <c r="AB220" s="5">
        <f t="shared" si="10"/>
        <v>0</v>
      </c>
      <c r="AC220" s="5">
        <f t="shared" si="10"/>
        <v>0</v>
      </c>
      <c r="AD220" s="5">
        <f t="shared" si="10"/>
        <v>0</v>
      </c>
      <c r="AE220" s="5">
        <f t="shared" si="10"/>
        <v>0</v>
      </c>
      <c r="AF220" s="4"/>
    </row>
  </sheetData>
  <mergeCells count="276">
    <mergeCell ref="J206:J207"/>
    <mergeCell ref="AF205:AF207"/>
    <mergeCell ref="A205:E205"/>
    <mergeCell ref="F205:L205"/>
    <mergeCell ref="M205:S205"/>
    <mergeCell ref="E206:E207"/>
    <mergeCell ref="F206:F207"/>
    <mergeCell ref="G206:G207"/>
    <mergeCell ref="H206:H207"/>
    <mergeCell ref="A206:A207"/>
    <mergeCell ref="B206:B207"/>
    <mergeCell ref="X205:AA205"/>
    <mergeCell ref="AB205:AE205"/>
    <mergeCell ref="T205:W205"/>
    <mergeCell ref="K206:K207"/>
    <mergeCell ref="L206:L207"/>
    <mergeCell ref="M206:M207"/>
    <mergeCell ref="AB206:AE206"/>
    <mergeCell ref="N206:N207"/>
    <mergeCell ref="O206:S206"/>
    <mergeCell ref="T206:W206"/>
    <mergeCell ref="X206:AA206"/>
    <mergeCell ref="C206:C207"/>
    <mergeCell ref="D206:D207"/>
    <mergeCell ref="I206:I207"/>
    <mergeCell ref="AF185:AF187"/>
    <mergeCell ref="AB186:AE186"/>
    <mergeCell ref="N186:N187"/>
    <mergeCell ref="O186:S186"/>
    <mergeCell ref="T186:W186"/>
    <mergeCell ref="H186:H187"/>
    <mergeCell ref="A186:A187"/>
    <mergeCell ref="B186:B187"/>
    <mergeCell ref="C186:C187"/>
    <mergeCell ref="D186:D187"/>
    <mergeCell ref="E186:E187"/>
    <mergeCell ref="F186:F187"/>
    <mergeCell ref="G186:G187"/>
    <mergeCell ref="I186:I187"/>
    <mergeCell ref="X186:AA186"/>
    <mergeCell ref="J186:J187"/>
    <mergeCell ref="K186:K187"/>
    <mergeCell ref="L186:L187"/>
    <mergeCell ref="M186:M187"/>
    <mergeCell ref="A185:E185"/>
    <mergeCell ref="F185:L185"/>
    <mergeCell ref="M185:S185"/>
    <mergeCell ref="T185:W185"/>
    <mergeCell ref="X185:AA185"/>
    <mergeCell ref="AB185:AE185"/>
    <mergeCell ref="N166:N167"/>
    <mergeCell ref="O166:S166"/>
    <mergeCell ref="G166:G167"/>
    <mergeCell ref="T166:W166"/>
    <mergeCell ref="X166:AA166"/>
    <mergeCell ref="J166:J167"/>
    <mergeCell ref="K166:K167"/>
    <mergeCell ref="L166:L167"/>
    <mergeCell ref="M166:M167"/>
    <mergeCell ref="A166:A167"/>
    <mergeCell ref="B166:B167"/>
    <mergeCell ref="C166:C167"/>
    <mergeCell ref="D166:D167"/>
    <mergeCell ref="E166:E167"/>
    <mergeCell ref="F166:F167"/>
    <mergeCell ref="J146:J147"/>
    <mergeCell ref="K146:K147"/>
    <mergeCell ref="H166:H167"/>
    <mergeCell ref="I166:I167"/>
    <mergeCell ref="L146:L147"/>
    <mergeCell ref="M146:M147"/>
    <mergeCell ref="A165:E165"/>
    <mergeCell ref="F165:L165"/>
    <mergeCell ref="M165:S165"/>
    <mergeCell ref="E146:E147"/>
    <mergeCell ref="F146:F147"/>
    <mergeCell ref="G146:G147"/>
    <mergeCell ref="H146:H147"/>
    <mergeCell ref="A146:A147"/>
    <mergeCell ref="B146:B147"/>
    <mergeCell ref="C146:C147"/>
    <mergeCell ref="D146:D147"/>
    <mergeCell ref="I146:I147"/>
    <mergeCell ref="T165:W165"/>
    <mergeCell ref="AF145:AF147"/>
    <mergeCell ref="AB146:AE146"/>
    <mergeCell ref="N146:N147"/>
    <mergeCell ref="O146:S146"/>
    <mergeCell ref="T146:W146"/>
    <mergeCell ref="AF165:AF167"/>
    <mergeCell ref="X165:AA165"/>
    <mergeCell ref="AB165:AE165"/>
    <mergeCell ref="X146:AA146"/>
    <mergeCell ref="AB166:AE166"/>
    <mergeCell ref="A145:E145"/>
    <mergeCell ref="F145:L145"/>
    <mergeCell ref="M145:S145"/>
    <mergeCell ref="T145:W145"/>
    <mergeCell ref="X145:AA145"/>
    <mergeCell ref="AB145:AE145"/>
    <mergeCell ref="N126:N127"/>
    <mergeCell ref="O126:S126"/>
    <mergeCell ref="G126:G127"/>
    <mergeCell ref="T126:W126"/>
    <mergeCell ref="X126:AA126"/>
    <mergeCell ref="J126:J127"/>
    <mergeCell ref="K126:K127"/>
    <mergeCell ref="L126:L127"/>
    <mergeCell ref="M126:M127"/>
    <mergeCell ref="A126:A127"/>
    <mergeCell ref="B126:B127"/>
    <mergeCell ref="C126:C127"/>
    <mergeCell ref="D126:D127"/>
    <mergeCell ref="E126:E127"/>
    <mergeCell ref="F126:F127"/>
    <mergeCell ref="J106:J107"/>
    <mergeCell ref="K106:K107"/>
    <mergeCell ref="H126:H127"/>
    <mergeCell ref="I126:I127"/>
    <mergeCell ref="L106:L107"/>
    <mergeCell ref="M106:M107"/>
    <mergeCell ref="A125:E125"/>
    <mergeCell ref="F125:L125"/>
    <mergeCell ref="M125:S125"/>
    <mergeCell ref="E106:E107"/>
    <mergeCell ref="F106:F107"/>
    <mergeCell ref="G106:G107"/>
    <mergeCell ref="H106:H107"/>
    <mergeCell ref="A106:A107"/>
    <mergeCell ref="B106:B107"/>
    <mergeCell ref="C106:C107"/>
    <mergeCell ref="D106:D107"/>
    <mergeCell ref="I106:I107"/>
    <mergeCell ref="T125:W125"/>
    <mergeCell ref="AF105:AF107"/>
    <mergeCell ref="AB106:AE106"/>
    <mergeCell ref="N106:N107"/>
    <mergeCell ref="O106:S106"/>
    <mergeCell ref="T106:W106"/>
    <mergeCell ref="AF125:AF127"/>
    <mergeCell ref="X125:AA125"/>
    <mergeCell ref="AB125:AE125"/>
    <mergeCell ref="X106:AA106"/>
    <mergeCell ref="AB126:AE126"/>
    <mergeCell ref="A105:E105"/>
    <mergeCell ref="F105:L105"/>
    <mergeCell ref="M105:S105"/>
    <mergeCell ref="T105:W105"/>
    <mergeCell ref="X105:AA105"/>
    <mergeCell ref="AB105:AE105"/>
    <mergeCell ref="N86:N87"/>
    <mergeCell ref="O86:S86"/>
    <mergeCell ref="G86:G87"/>
    <mergeCell ref="T86:W86"/>
    <mergeCell ref="X86:AA86"/>
    <mergeCell ref="J86:J87"/>
    <mergeCell ref="K86:K87"/>
    <mergeCell ref="L86:L87"/>
    <mergeCell ref="M86:M87"/>
    <mergeCell ref="H86:H87"/>
    <mergeCell ref="I86:I87"/>
    <mergeCell ref="A86:A87"/>
    <mergeCell ref="B86:B87"/>
    <mergeCell ref="C86:C87"/>
    <mergeCell ref="D86:D87"/>
    <mergeCell ref="E86:E87"/>
    <mergeCell ref="F86:F87"/>
    <mergeCell ref="A85:E85"/>
    <mergeCell ref="F85:L85"/>
    <mergeCell ref="M85:S85"/>
    <mergeCell ref="T85:W85"/>
    <mergeCell ref="AF65:AF67"/>
    <mergeCell ref="AB66:AE66"/>
    <mergeCell ref="N66:N67"/>
    <mergeCell ref="O66:S66"/>
    <mergeCell ref="T66:W66"/>
    <mergeCell ref="X65:AA65"/>
    <mergeCell ref="AB65:AE65"/>
    <mergeCell ref="AF85:AF87"/>
    <mergeCell ref="X85:AA85"/>
    <mergeCell ref="AB85:AE85"/>
    <mergeCell ref="X66:AA66"/>
    <mergeCell ref="AB86:AE86"/>
    <mergeCell ref="A65:E65"/>
    <mergeCell ref="F65:L65"/>
    <mergeCell ref="M65:S65"/>
    <mergeCell ref="T65:W65"/>
    <mergeCell ref="B66:B67"/>
    <mergeCell ref="C66:C67"/>
    <mergeCell ref="D66:D67"/>
    <mergeCell ref="I66:I67"/>
    <mergeCell ref="J46:J47"/>
    <mergeCell ref="K46:K47"/>
    <mergeCell ref="L46:L47"/>
    <mergeCell ref="M46:M47"/>
    <mergeCell ref="L66:L67"/>
    <mergeCell ref="M66:M67"/>
    <mergeCell ref="E66:E67"/>
    <mergeCell ref="F66:F67"/>
    <mergeCell ref="G66:G67"/>
    <mergeCell ref="H66:H67"/>
    <mergeCell ref="A66:A67"/>
    <mergeCell ref="J66:J67"/>
    <mergeCell ref="K66:K67"/>
    <mergeCell ref="AF45:AF47"/>
    <mergeCell ref="AB46:AE46"/>
    <mergeCell ref="N46:N47"/>
    <mergeCell ref="O46:S46"/>
    <mergeCell ref="T46:W46"/>
    <mergeCell ref="X46:AA46"/>
    <mergeCell ref="A46:A47"/>
    <mergeCell ref="B46:B47"/>
    <mergeCell ref="C46:C47"/>
    <mergeCell ref="D46:D47"/>
    <mergeCell ref="E46:E47"/>
    <mergeCell ref="F46:F47"/>
    <mergeCell ref="G46:G47"/>
    <mergeCell ref="H46:H47"/>
    <mergeCell ref="I46:I47"/>
    <mergeCell ref="A45:E45"/>
    <mergeCell ref="F45:L45"/>
    <mergeCell ref="M45:S45"/>
    <mergeCell ref="T45:W45"/>
    <mergeCell ref="X45:AA45"/>
    <mergeCell ref="AB45:AE45"/>
    <mergeCell ref="T26:W26"/>
    <mergeCell ref="X26:AA26"/>
    <mergeCell ref="AB26:AE26"/>
    <mergeCell ref="L26:L27"/>
    <mergeCell ref="M26:M27"/>
    <mergeCell ref="N26:N27"/>
    <mergeCell ref="O26:S26"/>
    <mergeCell ref="J26:J27"/>
    <mergeCell ref="K26:K27"/>
    <mergeCell ref="AB5:AE5"/>
    <mergeCell ref="AF25:AF27"/>
    <mergeCell ref="A26:A27"/>
    <mergeCell ref="B26:B27"/>
    <mergeCell ref="C26:C27"/>
    <mergeCell ref="D26:D27"/>
    <mergeCell ref="E26:E27"/>
    <mergeCell ref="F26:F27"/>
    <mergeCell ref="G26:G27"/>
    <mergeCell ref="H26:H27"/>
    <mergeCell ref="I26:I27"/>
    <mergeCell ref="M25:S25"/>
    <mergeCell ref="T25:W25"/>
    <mergeCell ref="X25:AA25"/>
    <mergeCell ref="AB25:AE25"/>
    <mergeCell ref="AF5:AF7"/>
    <mergeCell ref="X6:AA6"/>
    <mergeCell ref="AB6:AE6"/>
    <mergeCell ref="T5:W5"/>
    <mergeCell ref="X5:AA5"/>
    <mergeCell ref="O6:S6"/>
    <mergeCell ref="T6:W6"/>
    <mergeCell ref="A25:E25"/>
    <mergeCell ref="F25:L25"/>
    <mergeCell ref="A1:B1"/>
    <mergeCell ref="A5:E5"/>
    <mergeCell ref="F5:L5"/>
    <mergeCell ref="M5:S5"/>
    <mergeCell ref="A6:A7"/>
    <mergeCell ref="B6:B7"/>
    <mergeCell ref="K6:K7"/>
    <mergeCell ref="L6:L7"/>
    <mergeCell ref="I6:I7"/>
    <mergeCell ref="J6:J7"/>
    <mergeCell ref="C6:C7"/>
    <mergeCell ref="D6:D7"/>
    <mergeCell ref="E6:E7"/>
    <mergeCell ref="F6:F7"/>
    <mergeCell ref="G6:G7"/>
    <mergeCell ref="H6:H7"/>
    <mergeCell ref="M6:M7"/>
    <mergeCell ref="N6:N7"/>
  </mergeCells>
  <phoneticPr fontId="3" type="noConversion"/>
  <dataValidations count="1">
    <dataValidation type="decimal" allowBlank="1" showInputMessage="1" showErrorMessage="1" sqref="F1:L4 F23:L24 F43:L44 F63:L64 F83:L84 F103:L104 F123:L124 F143:L144 F163:L164 F183:L184 F203:L204">
      <formula1>-1000000000000000000</formula1>
      <formula2>10000000000000000000</formula2>
    </dataValidation>
  </dataValidations>
  <pageMargins left="0.75" right="0.75" top="1" bottom="1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M18"/>
  <sheetViews>
    <sheetView showGridLines="0" view="pageBreakPreview" zoomScaleSheetLayoutView="100" workbookViewId="0">
      <selection activeCell="R14" sqref="R14"/>
    </sheetView>
  </sheetViews>
  <sheetFormatPr defaultRowHeight="12.75"/>
  <cols>
    <col min="1" max="1" width="24.7109375" customWidth="1"/>
    <col min="2" max="2" width="7.140625" hidden="1" customWidth="1"/>
    <col min="3" max="4" width="7.5703125" hidden="1" customWidth="1"/>
    <col min="5" max="5" width="8.5703125" hidden="1" customWidth="1"/>
    <col min="6" max="7" width="7.5703125" hidden="1" customWidth="1"/>
    <col min="8" max="8" width="12.140625" customWidth="1"/>
    <col min="9" max="13" width="10.28515625" customWidth="1"/>
  </cols>
  <sheetData>
    <row r="1" spans="1:13">
      <c r="A1" s="6" t="s">
        <v>348</v>
      </c>
    </row>
    <row r="2" spans="1:13">
      <c r="A2" s="7" t="s">
        <v>349</v>
      </c>
    </row>
    <row r="3" spans="1:13">
      <c r="A3" s="7"/>
      <c r="K3" t="s">
        <v>365</v>
      </c>
    </row>
    <row r="4" spans="1:13" ht="27.75" customHeight="1">
      <c r="A4" s="102" t="s">
        <v>350</v>
      </c>
      <c r="B4" s="102" t="s">
        <v>12</v>
      </c>
      <c r="C4" s="103" t="s">
        <v>17</v>
      </c>
      <c r="D4" s="103" t="s">
        <v>18</v>
      </c>
      <c r="E4" s="103" t="s">
        <v>19</v>
      </c>
      <c r="F4" s="103" t="s">
        <v>20</v>
      </c>
      <c r="G4" s="103" t="s">
        <v>21</v>
      </c>
      <c r="H4" s="164" t="s">
        <v>432</v>
      </c>
      <c r="I4" s="103" t="s">
        <v>433</v>
      </c>
      <c r="J4" s="103" t="s">
        <v>434</v>
      </c>
      <c r="K4" s="103" t="s">
        <v>435</v>
      </c>
      <c r="L4" s="103" t="s">
        <v>436</v>
      </c>
      <c r="M4" s="103" t="s">
        <v>437</v>
      </c>
    </row>
    <row r="5" spans="1:13" ht="17.25" customHeight="1">
      <c r="A5" s="18" t="s">
        <v>50</v>
      </c>
      <c r="B5" s="4"/>
      <c r="C5" s="4"/>
      <c r="D5" s="4"/>
      <c r="E5" s="4"/>
      <c r="F5" s="4"/>
      <c r="G5" s="4"/>
      <c r="H5" s="295" t="s">
        <v>425</v>
      </c>
      <c r="I5" s="296"/>
      <c r="J5" s="296"/>
      <c r="K5" s="296"/>
      <c r="L5" s="296"/>
      <c r="M5" s="297"/>
    </row>
    <row r="6" spans="1:13" ht="17.25" customHeight="1">
      <c r="A6" s="58" t="s">
        <v>351</v>
      </c>
      <c r="B6" s="4"/>
      <c r="C6" s="4"/>
      <c r="D6" s="4"/>
      <c r="E6" s="4"/>
      <c r="F6" s="4"/>
      <c r="G6" s="4"/>
      <c r="H6" s="298"/>
      <c r="I6" s="299"/>
      <c r="J6" s="299"/>
      <c r="K6" s="299"/>
      <c r="L6" s="299"/>
      <c r="M6" s="300"/>
    </row>
    <row r="7" spans="1:13" ht="17.25" customHeight="1">
      <c r="A7" s="58" t="s">
        <v>352</v>
      </c>
      <c r="B7" s="4"/>
      <c r="C7" s="4"/>
      <c r="D7" s="4"/>
      <c r="E7" s="4"/>
      <c r="F7" s="4"/>
      <c r="G7" s="4"/>
      <c r="H7" s="298"/>
      <c r="I7" s="299"/>
      <c r="J7" s="299"/>
      <c r="K7" s="299"/>
      <c r="L7" s="299"/>
      <c r="M7" s="300"/>
    </row>
    <row r="8" spans="1:13" ht="17.25" customHeight="1">
      <c r="A8" s="58" t="s">
        <v>353</v>
      </c>
      <c r="B8" s="4"/>
      <c r="C8" s="4"/>
      <c r="D8" s="4"/>
      <c r="E8" s="4"/>
      <c r="F8" s="4"/>
      <c r="G8" s="4"/>
      <c r="H8" s="298"/>
      <c r="I8" s="299"/>
      <c r="J8" s="299"/>
      <c r="K8" s="299"/>
      <c r="L8" s="299"/>
      <c r="M8" s="300"/>
    </row>
    <row r="9" spans="1:13" ht="17.25" customHeight="1">
      <c r="A9" s="15" t="s">
        <v>160</v>
      </c>
      <c r="B9" s="4"/>
      <c r="C9" s="4"/>
      <c r="D9" s="4"/>
      <c r="E9" s="4"/>
      <c r="F9" s="4"/>
      <c r="G9" s="4"/>
      <c r="H9" s="298"/>
      <c r="I9" s="299"/>
      <c r="J9" s="299"/>
      <c r="K9" s="299"/>
      <c r="L9" s="299"/>
      <c r="M9" s="300"/>
    </row>
    <row r="10" spans="1:13" ht="17.25" customHeight="1">
      <c r="A10" s="58" t="s">
        <v>351</v>
      </c>
      <c r="B10" s="4"/>
      <c r="C10" s="4"/>
      <c r="D10" s="4"/>
      <c r="E10" s="4"/>
      <c r="F10" s="4"/>
      <c r="G10" s="4"/>
      <c r="H10" s="298"/>
      <c r="I10" s="299"/>
      <c r="J10" s="299"/>
      <c r="K10" s="299"/>
      <c r="L10" s="299"/>
      <c r="M10" s="300"/>
    </row>
    <row r="11" spans="1:13" ht="17.25" customHeight="1">
      <c r="A11" s="58" t="s">
        <v>352</v>
      </c>
      <c r="B11" s="4"/>
      <c r="C11" s="4"/>
      <c r="D11" s="4"/>
      <c r="E11" s="4"/>
      <c r="F11" s="4"/>
      <c r="G11" s="4"/>
      <c r="H11" s="298"/>
      <c r="I11" s="299"/>
      <c r="J11" s="299"/>
      <c r="K11" s="299"/>
      <c r="L11" s="299"/>
      <c r="M11" s="300"/>
    </row>
    <row r="12" spans="1:13" ht="17.25" customHeight="1">
      <c r="A12" s="58" t="s">
        <v>353</v>
      </c>
      <c r="B12" s="4"/>
      <c r="C12" s="4"/>
      <c r="D12" s="4"/>
      <c r="E12" s="4"/>
      <c r="F12" s="4"/>
      <c r="G12" s="4"/>
      <c r="H12" s="298"/>
      <c r="I12" s="299"/>
      <c r="J12" s="299"/>
      <c r="K12" s="299"/>
      <c r="L12" s="299"/>
      <c r="M12" s="300"/>
    </row>
    <row r="13" spans="1:13" ht="17.25" customHeight="1">
      <c r="A13" s="23" t="s">
        <v>51</v>
      </c>
      <c r="B13" s="4"/>
      <c r="C13" s="4"/>
      <c r="D13" s="4"/>
      <c r="E13" s="4"/>
      <c r="F13" s="4"/>
      <c r="G13" s="4"/>
      <c r="H13" s="298"/>
      <c r="I13" s="299"/>
      <c r="J13" s="299"/>
      <c r="K13" s="299"/>
      <c r="L13" s="299"/>
      <c r="M13" s="300"/>
    </row>
    <row r="14" spans="1:13" ht="17.25" customHeight="1">
      <c r="A14" s="58" t="s">
        <v>351</v>
      </c>
      <c r="B14" s="4"/>
      <c r="C14" s="4"/>
      <c r="D14" s="4"/>
      <c r="E14" s="4"/>
      <c r="F14" s="4"/>
      <c r="G14" s="4"/>
      <c r="H14" s="298"/>
      <c r="I14" s="299"/>
      <c r="J14" s="299"/>
      <c r="K14" s="299"/>
      <c r="L14" s="299"/>
      <c r="M14" s="300"/>
    </row>
    <row r="15" spans="1:13" ht="17.25" customHeight="1">
      <c r="A15" s="58" t="s">
        <v>352</v>
      </c>
      <c r="B15" s="4"/>
      <c r="C15" s="4"/>
      <c r="D15" s="4"/>
      <c r="E15" s="4"/>
      <c r="F15" s="4"/>
      <c r="G15" s="4"/>
      <c r="H15" s="298"/>
      <c r="I15" s="299"/>
      <c r="J15" s="299"/>
      <c r="K15" s="299"/>
      <c r="L15" s="299"/>
      <c r="M15" s="300"/>
    </row>
    <row r="16" spans="1:13" ht="17.25" customHeight="1">
      <c r="A16" s="58" t="s">
        <v>353</v>
      </c>
      <c r="B16" s="4"/>
      <c r="C16" s="4"/>
      <c r="D16" s="4"/>
      <c r="E16" s="4"/>
      <c r="F16" s="4"/>
      <c r="G16" s="4"/>
      <c r="H16" s="301"/>
      <c r="I16" s="302"/>
      <c r="J16" s="302"/>
      <c r="K16" s="302"/>
      <c r="L16" s="302"/>
      <c r="M16" s="303"/>
    </row>
    <row r="18" spans="1:1">
      <c r="A18" s="96" t="s">
        <v>354</v>
      </c>
    </row>
  </sheetData>
  <mergeCells count="1">
    <mergeCell ref="H5:M16"/>
  </mergeCells>
  <phoneticPr fontId="3" type="noConversion"/>
  <dataValidations count="1">
    <dataValidation type="decimal" allowBlank="1" showInputMessage="1" showErrorMessage="1" error="Enter in number format only" sqref="B4">
      <formula1>-1000000000000000</formula1>
      <formula2>100000000000000000</formula2>
    </dataValidation>
  </dataValidations>
  <printOptions horizontalCentered="1"/>
  <pageMargins left="0.75" right="0.75" top="1" bottom="1" header="0.5" footer="0.5"/>
  <pageSetup paperSize="9" orientation="landscape" verticalDpi="4294967295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Q721"/>
  <sheetViews>
    <sheetView view="pageBreakPreview" topLeftCell="A564" zoomScaleSheetLayoutView="100" workbookViewId="0">
      <selection activeCell="A592" sqref="A592:XFD592"/>
    </sheetView>
  </sheetViews>
  <sheetFormatPr defaultRowHeight="12.75"/>
  <cols>
    <col min="1" max="1" width="9" customWidth="1"/>
    <col min="2" max="2" width="25.140625" bestFit="1" customWidth="1"/>
    <col min="3" max="3" width="6.140625" bestFit="1" customWidth="1"/>
    <col min="4" max="4" width="6.85546875" bestFit="1" customWidth="1"/>
    <col min="5" max="5" width="8.140625" customWidth="1"/>
    <col min="6" max="6" width="8.7109375" bestFit="1" customWidth="1"/>
    <col min="7" max="7" width="9.28515625" bestFit="1" customWidth="1"/>
    <col min="8" max="8" width="10" style="12" bestFit="1" customWidth="1"/>
    <col min="9" max="9" width="11" bestFit="1" customWidth="1"/>
    <col min="10" max="10" width="11.140625" bestFit="1" customWidth="1"/>
    <col min="11" max="11" width="10.140625" bestFit="1" customWidth="1"/>
    <col min="12" max="12" width="12" customWidth="1"/>
    <col min="13" max="14" width="10.5703125" bestFit="1" customWidth="1"/>
    <col min="15" max="15" width="10.28515625" customWidth="1"/>
    <col min="16" max="16" width="10.140625" customWidth="1"/>
    <col min="17" max="17" width="9" customWidth="1"/>
    <col min="19" max="19" width="7.5703125" bestFit="1" customWidth="1"/>
    <col min="20" max="20" width="6" bestFit="1" customWidth="1"/>
  </cols>
  <sheetData>
    <row r="1" spans="1:17" hidden="1">
      <c r="A1" s="287" t="s">
        <v>272</v>
      </c>
      <c r="B1" s="287"/>
      <c r="C1" s="306" t="s">
        <v>273</v>
      </c>
      <c r="D1" s="306"/>
      <c r="E1" s="306"/>
      <c r="F1" s="306"/>
      <c r="G1" s="306"/>
      <c r="H1" s="306"/>
      <c r="I1" s="306"/>
      <c r="J1" s="306"/>
      <c r="K1" s="306"/>
      <c r="L1" s="306"/>
      <c r="M1" s="306"/>
      <c r="N1" s="306"/>
      <c r="O1" s="306"/>
      <c r="P1" s="306"/>
      <c r="Q1" s="306"/>
    </row>
    <row r="2" spans="1:17" s="62" customFormat="1" ht="27.75" hidden="1" customHeight="1">
      <c r="A2" s="304" t="s">
        <v>468</v>
      </c>
      <c r="B2" s="304"/>
      <c r="C2" s="138"/>
      <c r="D2" s="198"/>
      <c r="E2" s="198"/>
      <c r="F2" s="198"/>
      <c r="G2" s="198"/>
      <c r="H2" s="199"/>
      <c r="I2" s="198"/>
      <c r="J2" s="198"/>
      <c r="K2" s="198"/>
      <c r="L2" s="198"/>
      <c r="M2" s="198"/>
      <c r="N2" s="305" t="s">
        <v>467</v>
      </c>
      <c r="O2" s="305"/>
      <c r="P2" s="305"/>
      <c r="Q2" s="198"/>
    </row>
    <row r="3" spans="1:17" s="113" customFormat="1" ht="56.25" hidden="1">
      <c r="A3" s="111" t="s">
        <v>248</v>
      </c>
      <c r="B3" s="111" t="s">
        <v>302</v>
      </c>
      <c r="C3" s="111" t="s">
        <v>274</v>
      </c>
      <c r="D3" s="111" t="s">
        <v>251</v>
      </c>
      <c r="E3" s="111" t="s">
        <v>275</v>
      </c>
      <c r="F3" s="111" t="s">
        <v>257</v>
      </c>
      <c r="G3" s="111" t="s">
        <v>301</v>
      </c>
      <c r="H3" s="112" t="s">
        <v>258</v>
      </c>
      <c r="I3" s="111" t="s">
        <v>259</v>
      </c>
      <c r="J3" s="111" t="s">
        <v>260</v>
      </c>
      <c r="K3" s="111" t="s">
        <v>261</v>
      </c>
      <c r="L3" s="111" t="s">
        <v>262</v>
      </c>
      <c r="M3" s="111" t="s">
        <v>263</v>
      </c>
      <c r="N3" s="111" t="s">
        <v>264</v>
      </c>
      <c r="O3" s="111" t="s">
        <v>265</v>
      </c>
      <c r="P3" s="111" t="s">
        <v>266</v>
      </c>
      <c r="Q3" s="111" t="s">
        <v>101</v>
      </c>
    </row>
    <row r="4" spans="1:17" ht="15.75" hidden="1">
      <c r="A4" s="92" t="s">
        <v>283</v>
      </c>
      <c r="B4" s="4"/>
      <c r="C4" s="4"/>
      <c r="D4" s="4"/>
      <c r="E4" s="4"/>
      <c r="F4" s="4"/>
      <c r="G4" s="4"/>
      <c r="H4" s="58"/>
      <c r="I4" s="5"/>
      <c r="J4" s="5"/>
      <c r="K4" s="5"/>
      <c r="L4" s="5"/>
      <c r="M4" s="5"/>
      <c r="N4" s="5"/>
      <c r="O4" s="5"/>
      <c r="P4" s="5"/>
      <c r="Q4" s="4"/>
    </row>
    <row r="5" spans="1:17" hidden="1">
      <c r="A5" s="18" t="s">
        <v>276</v>
      </c>
      <c r="B5" s="4"/>
      <c r="C5" s="4"/>
      <c r="D5" s="4"/>
      <c r="E5" s="4"/>
      <c r="F5" s="4"/>
      <c r="G5" s="4"/>
      <c r="H5" s="58"/>
      <c r="I5" s="5"/>
      <c r="J5" s="5"/>
      <c r="K5" s="5"/>
      <c r="L5" s="5"/>
      <c r="M5" s="5"/>
      <c r="N5" s="5"/>
      <c r="O5" s="5"/>
      <c r="P5" s="5"/>
      <c r="Q5" s="4"/>
    </row>
    <row r="6" spans="1:17" hidden="1">
      <c r="A6" s="4"/>
      <c r="B6" s="4"/>
      <c r="C6" s="4"/>
      <c r="D6" s="4"/>
      <c r="E6" s="4"/>
      <c r="F6" s="4"/>
      <c r="G6" s="4"/>
      <c r="H6" s="58"/>
      <c r="I6" s="4"/>
      <c r="J6" s="4"/>
      <c r="K6" s="4"/>
      <c r="L6" s="9">
        <f>+I6+J6-K6</f>
        <v>0</v>
      </c>
      <c r="M6" s="4"/>
      <c r="N6" s="9">
        <f>+M6</f>
        <v>0</v>
      </c>
      <c r="O6" s="9">
        <v>0</v>
      </c>
      <c r="P6" s="9">
        <v>0</v>
      </c>
      <c r="Q6" s="4"/>
    </row>
    <row r="7" spans="1:17" hidden="1">
      <c r="A7" s="89"/>
      <c r="B7" s="89"/>
      <c r="C7" s="89"/>
      <c r="D7" s="89"/>
      <c r="E7" s="89"/>
      <c r="F7" s="89"/>
      <c r="G7" s="89"/>
      <c r="H7" s="90"/>
      <c r="I7" s="29">
        <f>+I6</f>
        <v>0</v>
      </c>
      <c r="J7" s="29">
        <f t="shared" ref="J7:P7" si="0">+J6</f>
        <v>0</v>
      </c>
      <c r="K7" s="29">
        <f t="shared" si="0"/>
        <v>0</v>
      </c>
      <c r="L7" s="29">
        <f t="shared" si="0"/>
        <v>0</v>
      </c>
      <c r="M7" s="29">
        <f t="shared" si="0"/>
        <v>0</v>
      </c>
      <c r="N7" s="29">
        <f t="shared" si="0"/>
        <v>0</v>
      </c>
      <c r="O7" s="29">
        <f t="shared" si="0"/>
        <v>0</v>
      </c>
      <c r="P7" s="29">
        <f t="shared" si="0"/>
        <v>0</v>
      </c>
      <c r="Q7" s="89"/>
    </row>
    <row r="8" spans="1:17" hidden="1">
      <c r="A8" s="18" t="s">
        <v>277</v>
      </c>
      <c r="B8" s="4"/>
      <c r="C8" s="4"/>
      <c r="D8" s="4"/>
      <c r="E8" s="4"/>
      <c r="F8" s="4"/>
      <c r="G8" s="4"/>
      <c r="H8" s="58"/>
      <c r="I8" s="5"/>
      <c r="J8" s="5"/>
      <c r="K8" s="5"/>
      <c r="L8" s="5"/>
      <c r="M8" s="5"/>
      <c r="N8" s="5"/>
      <c r="O8" s="5"/>
      <c r="P8" s="5"/>
      <c r="Q8" s="4"/>
    </row>
    <row r="9" spans="1:17" hidden="1">
      <c r="A9" s="4"/>
      <c r="B9" s="4"/>
      <c r="C9" s="4"/>
      <c r="D9" s="4"/>
      <c r="E9" s="4"/>
      <c r="F9" s="4"/>
      <c r="G9" s="4"/>
      <c r="H9" s="58"/>
      <c r="I9" s="4"/>
      <c r="J9" s="4"/>
      <c r="K9" s="4"/>
      <c r="L9" s="9">
        <f>+I9+J9-K9</f>
        <v>0</v>
      </c>
      <c r="M9" s="4"/>
      <c r="N9" s="9">
        <f>+M9</f>
        <v>0</v>
      </c>
      <c r="O9" s="9">
        <v>0</v>
      </c>
      <c r="P9" s="9">
        <v>0</v>
      </c>
      <c r="Q9" s="4"/>
    </row>
    <row r="10" spans="1:17" hidden="1">
      <c r="A10" s="89"/>
      <c r="B10" s="89"/>
      <c r="C10" s="89"/>
      <c r="D10" s="89"/>
      <c r="E10" s="89"/>
      <c r="F10" s="89"/>
      <c r="G10" s="89"/>
      <c r="H10" s="90"/>
      <c r="I10" s="29">
        <f>+I9</f>
        <v>0</v>
      </c>
      <c r="J10" s="29">
        <f t="shared" ref="J10:P10" si="1">+J9</f>
        <v>0</v>
      </c>
      <c r="K10" s="29">
        <f t="shared" si="1"/>
        <v>0</v>
      </c>
      <c r="L10" s="29">
        <f t="shared" si="1"/>
        <v>0</v>
      </c>
      <c r="M10" s="29">
        <f t="shared" si="1"/>
        <v>0</v>
      </c>
      <c r="N10" s="29">
        <f t="shared" si="1"/>
        <v>0</v>
      </c>
      <c r="O10" s="29">
        <f t="shared" si="1"/>
        <v>0</v>
      </c>
      <c r="P10" s="29">
        <f t="shared" si="1"/>
        <v>0</v>
      </c>
      <c r="Q10" s="89"/>
    </row>
    <row r="11" spans="1:17" hidden="1">
      <c r="A11" s="18" t="s">
        <v>278</v>
      </c>
      <c r="B11" s="4"/>
      <c r="C11" s="4"/>
      <c r="D11" s="4"/>
      <c r="E11" s="4"/>
      <c r="F11" s="4"/>
      <c r="G11" s="4"/>
      <c r="H11" s="58"/>
      <c r="I11" s="5"/>
      <c r="J11" s="5"/>
      <c r="K11" s="5"/>
      <c r="L11" s="5"/>
      <c r="M11" s="5"/>
      <c r="N11" s="5"/>
      <c r="O11" s="5"/>
      <c r="P11" s="5"/>
      <c r="Q11" s="4"/>
    </row>
    <row r="12" spans="1:17" hidden="1">
      <c r="A12" s="4"/>
      <c r="B12" s="4"/>
      <c r="C12" s="4"/>
      <c r="D12" s="4"/>
      <c r="E12" s="4"/>
      <c r="F12" s="4"/>
      <c r="G12" s="4"/>
      <c r="H12" s="58"/>
      <c r="I12" s="4"/>
      <c r="J12" s="4"/>
      <c r="K12" s="4"/>
      <c r="L12" s="9">
        <f>+I12+J12-K12</f>
        <v>0</v>
      </c>
      <c r="M12" s="4"/>
      <c r="N12" s="9">
        <f>+M12</f>
        <v>0</v>
      </c>
      <c r="O12" s="9">
        <v>0</v>
      </c>
      <c r="P12" s="9">
        <v>0</v>
      </c>
      <c r="Q12" s="4"/>
    </row>
    <row r="13" spans="1:17" hidden="1">
      <c r="A13" s="89"/>
      <c r="B13" s="89"/>
      <c r="C13" s="89"/>
      <c r="D13" s="89"/>
      <c r="E13" s="89"/>
      <c r="F13" s="89"/>
      <c r="G13" s="89"/>
      <c r="H13" s="90"/>
      <c r="I13" s="29">
        <f>+I12</f>
        <v>0</v>
      </c>
      <c r="J13" s="29">
        <f t="shared" ref="J13:P13" si="2">+J12</f>
        <v>0</v>
      </c>
      <c r="K13" s="29">
        <f t="shared" si="2"/>
        <v>0</v>
      </c>
      <c r="L13" s="29">
        <f t="shared" si="2"/>
        <v>0</v>
      </c>
      <c r="M13" s="29">
        <f t="shared" si="2"/>
        <v>0</v>
      </c>
      <c r="N13" s="29">
        <f t="shared" si="2"/>
        <v>0</v>
      </c>
      <c r="O13" s="29">
        <f t="shared" si="2"/>
        <v>0</v>
      </c>
      <c r="P13" s="29">
        <f t="shared" si="2"/>
        <v>0</v>
      </c>
      <c r="Q13" s="89"/>
    </row>
    <row r="14" spans="1:17" hidden="1">
      <c r="A14" s="18" t="s">
        <v>279</v>
      </c>
      <c r="B14" s="4"/>
      <c r="C14" s="4"/>
      <c r="D14" s="4"/>
      <c r="E14" s="4"/>
      <c r="F14" s="4"/>
      <c r="G14" s="4"/>
      <c r="H14" s="58"/>
      <c r="I14" s="4"/>
      <c r="J14" s="4"/>
      <c r="K14" s="4"/>
      <c r="L14" s="4"/>
      <c r="M14" s="4"/>
      <c r="N14" s="4"/>
      <c r="O14" s="4"/>
      <c r="P14" s="4"/>
      <c r="Q14" s="4"/>
    </row>
    <row r="15" spans="1:17" hidden="1">
      <c r="A15" s="4"/>
      <c r="B15" s="4" t="s">
        <v>280</v>
      </c>
      <c r="C15" s="4"/>
      <c r="D15" s="4"/>
      <c r="E15" s="4"/>
      <c r="F15" s="4"/>
      <c r="G15" s="4"/>
      <c r="H15" s="58"/>
      <c r="I15" s="4"/>
      <c r="J15" s="9"/>
      <c r="K15" s="4"/>
      <c r="L15" s="9">
        <f t="shared" ref="L15:L34" si="3">+I15+J15-K15</f>
        <v>0</v>
      </c>
      <c r="M15" s="9"/>
      <c r="N15" s="9">
        <f t="shared" ref="N15:N36" si="4">+M15</f>
        <v>0</v>
      </c>
      <c r="O15" s="9">
        <v>0</v>
      </c>
      <c r="P15" s="9">
        <v>0</v>
      </c>
      <c r="Q15" s="4"/>
    </row>
    <row r="16" spans="1:17" hidden="1">
      <c r="A16" s="4"/>
      <c r="B16" s="4" t="s">
        <v>281</v>
      </c>
      <c r="C16" s="4"/>
      <c r="D16" s="4"/>
      <c r="E16" s="4"/>
      <c r="F16" s="4"/>
      <c r="G16" s="4"/>
      <c r="H16" s="58"/>
      <c r="I16" s="4"/>
      <c r="J16" s="9"/>
      <c r="K16" s="4"/>
      <c r="L16" s="9">
        <f t="shared" si="3"/>
        <v>0</v>
      </c>
      <c r="M16" s="4"/>
      <c r="N16" s="9">
        <f t="shared" si="4"/>
        <v>0</v>
      </c>
      <c r="O16" s="9">
        <v>0</v>
      </c>
      <c r="P16" s="9">
        <v>0</v>
      </c>
      <c r="Q16" s="4"/>
    </row>
    <row r="17" spans="1:17" hidden="1">
      <c r="A17" s="4"/>
      <c r="B17" s="4" t="s">
        <v>285</v>
      </c>
      <c r="C17" s="4"/>
      <c r="D17" s="4"/>
      <c r="E17" s="4"/>
      <c r="F17" s="4"/>
      <c r="G17" s="4"/>
      <c r="H17" s="58"/>
      <c r="I17" s="9"/>
      <c r="J17" s="9"/>
      <c r="K17" s="4"/>
      <c r="L17" s="9">
        <f t="shared" si="3"/>
        <v>0</v>
      </c>
      <c r="M17" s="4"/>
      <c r="N17" s="9">
        <f t="shared" si="4"/>
        <v>0</v>
      </c>
      <c r="O17" s="9">
        <v>0</v>
      </c>
      <c r="P17" s="9">
        <v>0</v>
      </c>
      <c r="Q17" s="4"/>
    </row>
    <row r="18" spans="1:17" hidden="1">
      <c r="A18" s="4"/>
      <c r="B18" s="4" t="s">
        <v>286</v>
      </c>
      <c r="C18" s="4"/>
      <c r="D18" s="4"/>
      <c r="E18" s="4"/>
      <c r="F18" s="4"/>
      <c r="G18" s="4"/>
      <c r="H18" s="58"/>
      <c r="I18" s="4"/>
      <c r="J18" s="9"/>
      <c r="K18" s="9"/>
      <c r="L18" s="9">
        <f t="shared" si="3"/>
        <v>0</v>
      </c>
      <c r="M18" s="4"/>
      <c r="N18" s="9">
        <f t="shared" si="4"/>
        <v>0</v>
      </c>
      <c r="O18" s="9">
        <v>0</v>
      </c>
      <c r="P18" s="9">
        <v>0</v>
      </c>
      <c r="Q18" s="4"/>
    </row>
    <row r="19" spans="1:17" hidden="1">
      <c r="A19" s="4"/>
      <c r="B19" s="4" t="s">
        <v>287</v>
      </c>
      <c r="C19" s="4"/>
      <c r="D19" s="4"/>
      <c r="E19" s="4"/>
      <c r="F19" s="4"/>
      <c r="G19" s="4"/>
      <c r="H19" s="58"/>
      <c r="I19" s="4"/>
      <c r="J19" s="9"/>
      <c r="K19" s="4"/>
      <c r="L19" s="9">
        <f t="shared" si="3"/>
        <v>0</v>
      </c>
      <c r="M19" s="4"/>
      <c r="N19" s="9">
        <f t="shared" si="4"/>
        <v>0</v>
      </c>
      <c r="O19" s="9">
        <v>0</v>
      </c>
      <c r="P19" s="9">
        <v>0</v>
      </c>
      <c r="Q19" s="4"/>
    </row>
    <row r="20" spans="1:17" hidden="1">
      <c r="A20" s="4"/>
      <c r="B20" s="4" t="s">
        <v>371</v>
      </c>
      <c r="C20" s="4"/>
      <c r="D20" s="4"/>
      <c r="E20" s="4"/>
      <c r="F20" s="4"/>
      <c r="G20" s="4"/>
      <c r="H20" s="58"/>
      <c r="I20" s="4"/>
      <c r="J20" s="9"/>
      <c r="K20" s="4"/>
      <c r="L20" s="9">
        <f>+I20+J20-K20</f>
        <v>0</v>
      </c>
      <c r="M20" s="4"/>
      <c r="N20" s="9">
        <f t="shared" si="4"/>
        <v>0</v>
      </c>
      <c r="O20" s="9">
        <v>0</v>
      </c>
      <c r="P20" s="9">
        <v>0</v>
      </c>
      <c r="Q20" s="4"/>
    </row>
    <row r="21" spans="1:17" hidden="1">
      <c r="A21" s="4"/>
      <c r="B21" s="4" t="s">
        <v>288</v>
      </c>
      <c r="C21" s="4"/>
      <c r="D21" s="4"/>
      <c r="E21" s="4"/>
      <c r="F21" s="4"/>
      <c r="G21" s="4"/>
      <c r="H21" s="58"/>
      <c r="I21" s="4"/>
      <c r="J21" s="9"/>
      <c r="K21" s="4"/>
      <c r="L21" s="9">
        <f t="shared" si="3"/>
        <v>0</v>
      </c>
      <c r="M21" s="4"/>
      <c r="N21" s="9">
        <f t="shared" si="4"/>
        <v>0</v>
      </c>
      <c r="O21" s="9">
        <v>0</v>
      </c>
      <c r="P21" s="9">
        <v>0</v>
      </c>
      <c r="Q21" s="4"/>
    </row>
    <row r="22" spans="1:17" hidden="1">
      <c r="A22" s="4"/>
      <c r="B22" s="4" t="s">
        <v>289</v>
      </c>
      <c r="C22" s="4"/>
      <c r="D22" s="4"/>
      <c r="E22" s="4"/>
      <c r="F22" s="4"/>
      <c r="G22" s="4"/>
      <c r="H22" s="58"/>
      <c r="I22" s="9"/>
      <c r="J22" s="9"/>
      <c r="K22" s="4"/>
      <c r="L22" s="9">
        <f t="shared" si="3"/>
        <v>0</v>
      </c>
      <c r="M22" s="4"/>
      <c r="N22" s="9">
        <f t="shared" si="4"/>
        <v>0</v>
      </c>
      <c r="O22" s="9">
        <v>0</v>
      </c>
      <c r="P22" s="9">
        <v>0</v>
      </c>
      <c r="Q22" s="4"/>
    </row>
    <row r="23" spans="1:17" hidden="1">
      <c r="A23" s="4"/>
      <c r="B23" s="4" t="s">
        <v>290</v>
      </c>
      <c r="C23" s="4"/>
      <c r="D23" s="4"/>
      <c r="E23" s="4"/>
      <c r="F23" s="4"/>
      <c r="G23" s="4"/>
      <c r="H23" s="58"/>
      <c r="I23" s="9"/>
      <c r="J23" s="9"/>
      <c r="K23" s="4"/>
      <c r="L23" s="9">
        <f t="shared" si="3"/>
        <v>0</v>
      </c>
      <c r="M23" s="4"/>
      <c r="N23" s="9">
        <f t="shared" si="4"/>
        <v>0</v>
      </c>
      <c r="O23" s="9">
        <v>0</v>
      </c>
      <c r="P23" s="9">
        <v>0</v>
      </c>
      <c r="Q23" s="4"/>
    </row>
    <row r="24" spans="1:17" hidden="1">
      <c r="A24" s="4"/>
      <c r="B24" s="4" t="s">
        <v>291</v>
      </c>
      <c r="C24" s="4"/>
      <c r="D24" s="4"/>
      <c r="E24" s="4"/>
      <c r="F24" s="4"/>
      <c r="G24" s="4"/>
      <c r="H24" s="58"/>
      <c r="I24" s="9"/>
      <c r="J24" s="9"/>
      <c r="K24" s="4"/>
      <c r="L24" s="9">
        <f t="shared" si="3"/>
        <v>0</v>
      </c>
      <c r="M24" s="9"/>
      <c r="N24" s="9">
        <f t="shared" si="4"/>
        <v>0</v>
      </c>
      <c r="O24" s="9">
        <v>0</v>
      </c>
      <c r="P24" s="9">
        <v>0</v>
      </c>
      <c r="Q24" s="4"/>
    </row>
    <row r="25" spans="1:17" hidden="1">
      <c r="A25" s="4"/>
      <c r="B25" s="4" t="s">
        <v>292</v>
      </c>
      <c r="C25" s="4"/>
      <c r="D25" s="4"/>
      <c r="E25" s="4"/>
      <c r="F25" s="4"/>
      <c r="G25" s="4"/>
      <c r="H25" s="58"/>
      <c r="I25" s="9"/>
      <c r="J25" s="9"/>
      <c r="K25" s="4"/>
      <c r="L25" s="9">
        <f t="shared" si="3"/>
        <v>0</v>
      </c>
      <c r="M25" s="4"/>
      <c r="N25" s="9">
        <f t="shared" si="4"/>
        <v>0</v>
      </c>
      <c r="O25" s="9">
        <v>0</v>
      </c>
      <c r="P25" s="9">
        <v>0</v>
      </c>
      <c r="Q25" s="4"/>
    </row>
    <row r="26" spans="1:17" hidden="1">
      <c r="A26" s="4"/>
      <c r="B26" s="4" t="s">
        <v>293</v>
      </c>
      <c r="C26" s="4"/>
      <c r="D26" s="4"/>
      <c r="E26" s="4"/>
      <c r="F26" s="4"/>
      <c r="G26" s="4"/>
      <c r="H26" s="58"/>
      <c r="I26" s="4"/>
      <c r="J26" s="9"/>
      <c r="K26" s="4"/>
      <c r="L26" s="9">
        <f t="shared" si="3"/>
        <v>0</v>
      </c>
      <c r="M26" s="4"/>
      <c r="N26" s="9">
        <f t="shared" si="4"/>
        <v>0</v>
      </c>
      <c r="O26" s="9">
        <v>0</v>
      </c>
      <c r="P26" s="9">
        <v>0</v>
      </c>
      <c r="Q26" s="4"/>
    </row>
    <row r="27" spans="1:17" hidden="1">
      <c r="A27" s="4"/>
      <c r="B27" s="4" t="s">
        <v>294</v>
      </c>
      <c r="C27" s="4"/>
      <c r="D27" s="4"/>
      <c r="E27" s="4"/>
      <c r="F27" s="4"/>
      <c r="G27" s="4"/>
      <c r="H27" s="58"/>
      <c r="I27" s="4"/>
      <c r="J27" s="9"/>
      <c r="K27" s="4"/>
      <c r="L27" s="9">
        <f t="shared" si="3"/>
        <v>0</v>
      </c>
      <c r="M27" s="4"/>
      <c r="N27" s="9">
        <f t="shared" si="4"/>
        <v>0</v>
      </c>
      <c r="O27" s="9">
        <v>0</v>
      </c>
      <c r="P27" s="9">
        <v>0</v>
      </c>
      <c r="Q27" s="4"/>
    </row>
    <row r="28" spans="1:17" hidden="1">
      <c r="A28" s="4"/>
      <c r="B28" s="4" t="s">
        <v>295</v>
      </c>
      <c r="C28" s="4"/>
      <c r="D28" s="4"/>
      <c r="E28" s="4"/>
      <c r="F28" s="4"/>
      <c r="G28" s="4"/>
      <c r="H28" s="58"/>
      <c r="I28" s="4"/>
      <c r="J28" s="9"/>
      <c r="K28" s="4"/>
      <c r="L28" s="9">
        <f t="shared" si="3"/>
        <v>0</v>
      </c>
      <c r="M28" s="4"/>
      <c r="N28" s="9">
        <f t="shared" si="4"/>
        <v>0</v>
      </c>
      <c r="O28" s="9">
        <v>0</v>
      </c>
      <c r="P28" s="9">
        <v>0</v>
      </c>
      <c r="Q28" s="4"/>
    </row>
    <row r="29" spans="1:17" hidden="1">
      <c r="A29" s="4"/>
      <c r="B29" s="4" t="s">
        <v>296</v>
      </c>
      <c r="C29" s="4"/>
      <c r="D29" s="4"/>
      <c r="E29" s="4"/>
      <c r="F29" s="4"/>
      <c r="G29" s="4"/>
      <c r="H29" s="58"/>
      <c r="I29" s="4"/>
      <c r="J29" s="9"/>
      <c r="K29" s="4"/>
      <c r="L29" s="9">
        <f t="shared" si="3"/>
        <v>0</v>
      </c>
      <c r="M29" s="4"/>
      <c r="N29" s="9">
        <f t="shared" si="4"/>
        <v>0</v>
      </c>
      <c r="O29" s="9">
        <v>0</v>
      </c>
      <c r="P29" s="9">
        <v>0</v>
      </c>
      <c r="Q29" s="4"/>
    </row>
    <row r="30" spans="1:17" hidden="1">
      <c r="A30" s="4"/>
      <c r="B30" s="4" t="s">
        <v>297</v>
      </c>
      <c r="C30" s="4"/>
      <c r="D30" s="4"/>
      <c r="E30" s="4"/>
      <c r="F30" s="4"/>
      <c r="G30" s="4"/>
      <c r="H30" s="58"/>
      <c r="I30" s="9"/>
      <c r="J30" s="9"/>
      <c r="K30" s="4"/>
      <c r="L30" s="9">
        <f t="shared" si="3"/>
        <v>0</v>
      </c>
      <c r="M30" s="4"/>
      <c r="N30" s="9">
        <f t="shared" si="4"/>
        <v>0</v>
      </c>
      <c r="O30" s="9">
        <v>0</v>
      </c>
      <c r="P30" s="9">
        <v>0</v>
      </c>
      <c r="Q30" s="4"/>
    </row>
    <row r="31" spans="1:17" hidden="1">
      <c r="A31" s="4"/>
      <c r="B31" s="200" t="s">
        <v>469</v>
      </c>
      <c r="C31" s="4"/>
      <c r="D31" s="4"/>
      <c r="E31" s="4"/>
      <c r="F31" s="4"/>
      <c r="G31" s="4"/>
      <c r="H31" s="58"/>
      <c r="I31" s="9"/>
      <c r="J31" s="9"/>
      <c r="K31" s="4"/>
      <c r="L31" s="9">
        <f t="shared" ref="L31" si="5">+I31+J31-K31</f>
        <v>0</v>
      </c>
      <c r="M31" s="4"/>
      <c r="N31" s="9">
        <f t="shared" ref="N31" si="6">+M31</f>
        <v>0</v>
      </c>
      <c r="O31" s="9">
        <v>0</v>
      </c>
      <c r="P31" s="9">
        <v>0</v>
      </c>
      <c r="Q31" s="4"/>
    </row>
    <row r="32" spans="1:17" hidden="1">
      <c r="A32" s="4"/>
      <c r="B32" s="4" t="s">
        <v>298</v>
      </c>
      <c r="C32" s="4"/>
      <c r="D32" s="4"/>
      <c r="E32" s="4"/>
      <c r="F32" s="4"/>
      <c r="G32" s="4"/>
      <c r="H32" s="58"/>
      <c r="I32" s="9"/>
      <c r="J32" s="9"/>
      <c r="K32" s="4"/>
      <c r="L32" s="9">
        <f t="shared" si="3"/>
        <v>0</v>
      </c>
      <c r="M32" s="4"/>
      <c r="N32" s="9">
        <f t="shared" si="4"/>
        <v>0</v>
      </c>
      <c r="O32" s="9">
        <v>0</v>
      </c>
      <c r="P32" s="9">
        <v>0</v>
      </c>
      <c r="Q32" s="4"/>
    </row>
    <row r="33" spans="1:17" hidden="1">
      <c r="A33" s="4"/>
      <c r="B33" s="4" t="s">
        <v>299</v>
      </c>
      <c r="C33" s="4"/>
      <c r="D33" s="4"/>
      <c r="E33" s="4"/>
      <c r="F33" s="4"/>
      <c r="G33" s="4"/>
      <c r="H33" s="58"/>
      <c r="I33" s="9"/>
      <c r="J33" s="9"/>
      <c r="K33" s="4"/>
      <c r="L33" s="9">
        <f t="shared" si="3"/>
        <v>0</v>
      </c>
      <c r="M33" s="4"/>
      <c r="N33" s="9">
        <f t="shared" si="4"/>
        <v>0</v>
      </c>
      <c r="O33" s="9">
        <v>0</v>
      </c>
      <c r="P33" s="9">
        <v>0</v>
      </c>
      <c r="Q33" s="4"/>
    </row>
    <row r="34" spans="1:17" hidden="1">
      <c r="A34" s="4"/>
      <c r="B34" s="4" t="s">
        <v>300</v>
      </c>
      <c r="C34" s="4"/>
      <c r="D34" s="4"/>
      <c r="E34" s="4"/>
      <c r="F34" s="4"/>
      <c r="G34" s="4"/>
      <c r="H34" s="58"/>
      <c r="I34" s="9"/>
      <c r="J34" s="9"/>
      <c r="K34" s="4"/>
      <c r="L34" s="9">
        <f t="shared" si="3"/>
        <v>0</v>
      </c>
      <c r="M34" s="4"/>
      <c r="N34" s="9">
        <f t="shared" si="4"/>
        <v>0</v>
      </c>
      <c r="O34" s="9">
        <v>0</v>
      </c>
      <c r="P34" s="9">
        <v>0</v>
      </c>
      <c r="Q34" s="4"/>
    </row>
    <row r="35" spans="1:17" hidden="1">
      <c r="A35" s="4"/>
      <c r="B35" s="4" t="s">
        <v>372</v>
      </c>
      <c r="C35" s="4"/>
      <c r="D35" s="4"/>
      <c r="E35" s="4"/>
      <c r="F35" s="4"/>
      <c r="G35" s="4"/>
      <c r="H35" s="58"/>
      <c r="I35" s="9"/>
      <c r="J35" s="9"/>
      <c r="K35" s="4"/>
      <c r="L35" s="9">
        <f>+I35+J35-K35</f>
        <v>0</v>
      </c>
      <c r="M35" s="4"/>
      <c r="N35" s="9">
        <f t="shared" si="4"/>
        <v>0</v>
      </c>
      <c r="O35" s="9">
        <v>0</v>
      </c>
      <c r="P35" s="9">
        <v>0</v>
      </c>
      <c r="Q35" s="4"/>
    </row>
    <row r="36" spans="1:17" hidden="1">
      <c r="A36" s="4"/>
      <c r="B36" s="4" t="s">
        <v>410</v>
      </c>
      <c r="C36" s="4"/>
      <c r="D36" s="4"/>
      <c r="E36" s="4"/>
      <c r="F36" s="4"/>
      <c r="G36" s="4"/>
      <c r="H36" s="58"/>
      <c r="I36" s="9"/>
      <c r="J36" s="9"/>
      <c r="K36" s="4"/>
      <c r="L36" s="9">
        <f>+I36+J36-K36</f>
        <v>0</v>
      </c>
      <c r="M36" s="4"/>
      <c r="N36" s="9">
        <f t="shared" si="4"/>
        <v>0</v>
      </c>
      <c r="O36" s="9">
        <v>0</v>
      </c>
      <c r="P36" s="9">
        <v>0</v>
      </c>
      <c r="Q36" s="4"/>
    </row>
    <row r="37" spans="1:17" hidden="1">
      <c r="A37" s="89"/>
      <c r="B37" s="89"/>
      <c r="C37" s="89"/>
      <c r="D37" s="89"/>
      <c r="E37" s="89"/>
      <c r="F37" s="89"/>
      <c r="G37" s="89"/>
      <c r="H37" s="90"/>
      <c r="I37" s="29">
        <f>SUM(I15:I36)</f>
        <v>0</v>
      </c>
      <c r="J37" s="29">
        <f t="shared" ref="J37:P37" si="7">SUM(J15:J36)</f>
        <v>0</v>
      </c>
      <c r="K37" s="29">
        <f t="shared" si="7"/>
        <v>0</v>
      </c>
      <c r="L37" s="29">
        <f t="shared" si="7"/>
        <v>0</v>
      </c>
      <c r="M37" s="29">
        <f t="shared" si="7"/>
        <v>0</v>
      </c>
      <c r="N37" s="29">
        <f t="shared" si="7"/>
        <v>0</v>
      </c>
      <c r="O37" s="29">
        <f t="shared" si="7"/>
        <v>0</v>
      </c>
      <c r="P37" s="29">
        <f t="shared" si="7"/>
        <v>0</v>
      </c>
      <c r="Q37" s="89"/>
    </row>
    <row r="38" spans="1:17" hidden="1">
      <c r="A38" s="28"/>
      <c r="B38" s="28"/>
      <c r="C38" s="28"/>
      <c r="D38" s="28"/>
      <c r="E38" s="28"/>
      <c r="F38" s="28"/>
      <c r="G38" s="28"/>
      <c r="H38" s="91"/>
      <c r="I38" s="29">
        <f t="shared" ref="I38:P38" si="8">+I7+I10+I13+I37</f>
        <v>0</v>
      </c>
      <c r="J38" s="29">
        <f t="shared" si="8"/>
        <v>0</v>
      </c>
      <c r="K38" s="29">
        <f t="shared" si="8"/>
        <v>0</v>
      </c>
      <c r="L38" s="29">
        <f t="shared" si="8"/>
        <v>0</v>
      </c>
      <c r="M38" s="29">
        <f t="shared" si="8"/>
        <v>0</v>
      </c>
      <c r="N38" s="29">
        <f t="shared" si="8"/>
        <v>0</v>
      </c>
      <c r="O38" s="29">
        <f t="shared" si="8"/>
        <v>0</v>
      </c>
      <c r="P38" s="29">
        <f t="shared" si="8"/>
        <v>0</v>
      </c>
      <c r="Q38" s="28"/>
    </row>
    <row r="39" spans="1:17" ht="15.75" hidden="1">
      <c r="A39" s="92" t="s">
        <v>282</v>
      </c>
      <c r="B39" s="4"/>
      <c r="C39" s="4"/>
      <c r="D39" s="4"/>
      <c r="E39" s="4"/>
      <c r="F39" s="4"/>
      <c r="G39" s="4"/>
      <c r="H39" s="58"/>
      <c r="I39" s="4"/>
      <c r="J39" s="4"/>
      <c r="K39" s="4"/>
      <c r="L39" s="4"/>
      <c r="M39" s="4"/>
      <c r="N39" s="4"/>
      <c r="O39" s="4"/>
      <c r="P39" s="4"/>
      <c r="Q39" s="4"/>
    </row>
    <row r="40" spans="1:17" hidden="1">
      <c r="A40" s="18" t="s">
        <v>276</v>
      </c>
      <c r="B40" s="4"/>
      <c r="C40" s="4"/>
      <c r="D40" s="4"/>
      <c r="E40" s="4"/>
      <c r="F40" s="4"/>
      <c r="G40" s="4"/>
      <c r="H40" s="58"/>
      <c r="I40" s="5"/>
      <c r="J40" s="5"/>
      <c r="K40" s="5"/>
      <c r="L40" s="5"/>
      <c r="M40" s="5"/>
      <c r="N40" s="5"/>
      <c r="O40" s="5"/>
      <c r="P40" s="5"/>
      <c r="Q40" s="4"/>
    </row>
    <row r="41" spans="1:17" hidden="1">
      <c r="A41" s="18"/>
      <c r="B41" s="4"/>
      <c r="C41" s="4"/>
      <c r="D41" s="4"/>
      <c r="E41" s="4"/>
      <c r="F41" s="4"/>
      <c r="G41" s="4"/>
      <c r="H41" s="58"/>
      <c r="I41" s="36"/>
      <c r="J41" s="5"/>
      <c r="K41" s="36"/>
      <c r="L41" s="9">
        <f>+I41+J41-K41</f>
        <v>0</v>
      </c>
      <c r="M41" s="4"/>
      <c r="N41" s="9">
        <f>+M41</f>
        <v>0</v>
      </c>
      <c r="O41" s="9">
        <v>0</v>
      </c>
      <c r="P41" s="9">
        <v>0</v>
      </c>
      <c r="Q41" s="4"/>
    </row>
    <row r="42" spans="1:17" hidden="1">
      <c r="A42" s="89"/>
      <c r="B42" s="89"/>
      <c r="C42" s="89"/>
      <c r="D42" s="89"/>
      <c r="E42" s="89"/>
      <c r="F42" s="89"/>
      <c r="G42" s="89"/>
      <c r="H42" s="90"/>
      <c r="I42" s="29">
        <f t="shared" ref="I42:P42" si="9">SUM(I41:I41)</f>
        <v>0</v>
      </c>
      <c r="J42" s="29">
        <f t="shared" si="9"/>
        <v>0</v>
      </c>
      <c r="K42" s="29">
        <f t="shared" si="9"/>
        <v>0</v>
      </c>
      <c r="L42" s="29">
        <f t="shared" si="9"/>
        <v>0</v>
      </c>
      <c r="M42" s="29">
        <f t="shared" si="9"/>
        <v>0</v>
      </c>
      <c r="N42" s="29">
        <f t="shared" si="9"/>
        <v>0</v>
      </c>
      <c r="O42" s="29">
        <f t="shared" si="9"/>
        <v>0</v>
      </c>
      <c r="P42" s="29">
        <f t="shared" si="9"/>
        <v>0</v>
      </c>
      <c r="Q42" s="89"/>
    </row>
    <row r="43" spans="1:17" hidden="1">
      <c r="A43" s="18" t="s">
        <v>277</v>
      </c>
      <c r="B43" s="4"/>
      <c r="C43" s="4"/>
      <c r="D43" s="4"/>
      <c r="E43" s="4"/>
      <c r="F43" s="4"/>
      <c r="G43" s="4"/>
      <c r="H43" s="58"/>
      <c r="I43" s="5"/>
      <c r="J43" s="5"/>
      <c r="K43" s="5"/>
      <c r="L43" s="5"/>
      <c r="M43" s="5"/>
      <c r="N43" s="5"/>
      <c r="O43" s="5"/>
      <c r="P43" s="5"/>
      <c r="Q43" s="4"/>
    </row>
    <row r="44" spans="1:17" hidden="1">
      <c r="A44" s="4"/>
      <c r="B44" s="4"/>
      <c r="C44" s="4"/>
      <c r="D44" s="4"/>
      <c r="E44" s="4"/>
      <c r="F44" s="4"/>
      <c r="G44" s="4"/>
      <c r="H44" s="58"/>
      <c r="I44" s="4"/>
      <c r="J44" s="4"/>
      <c r="K44" s="4"/>
      <c r="L44" s="9">
        <f>+I44+J44-K44</f>
        <v>0</v>
      </c>
      <c r="M44" s="4"/>
      <c r="N44" s="9">
        <f>+M44</f>
        <v>0</v>
      </c>
      <c r="O44" s="9">
        <v>0</v>
      </c>
      <c r="P44" s="9">
        <v>0</v>
      </c>
      <c r="Q44" s="4"/>
    </row>
    <row r="45" spans="1:17" hidden="1">
      <c r="A45" s="89"/>
      <c r="B45" s="89"/>
      <c r="C45" s="89"/>
      <c r="D45" s="89"/>
      <c r="E45" s="89"/>
      <c r="F45" s="89"/>
      <c r="G45" s="89"/>
      <c r="H45" s="90"/>
      <c r="I45" s="29">
        <f>+I44</f>
        <v>0</v>
      </c>
      <c r="J45" s="29">
        <f t="shared" ref="J45:P45" si="10">+J44</f>
        <v>0</v>
      </c>
      <c r="K45" s="29">
        <f t="shared" si="10"/>
        <v>0</v>
      </c>
      <c r="L45" s="29">
        <f t="shared" si="10"/>
        <v>0</v>
      </c>
      <c r="M45" s="29">
        <f t="shared" si="10"/>
        <v>0</v>
      </c>
      <c r="N45" s="29">
        <f t="shared" si="10"/>
        <v>0</v>
      </c>
      <c r="O45" s="29">
        <f t="shared" si="10"/>
        <v>0</v>
      </c>
      <c r="P45" s="29">
        <f t="shared" si="10"/>
        <v>0</v>
      </c>
      <c r="Q45" s="89"/>
    </row>
    <row r="46" spans="1:17" hidden="1">
      <c r="A46" s="18" t="s">
        <v>278</v>
      </c>
      <c r="B46" s="4"/>
      <c r="C46" s="4"/>
      <c r="D46" s="4"/>
      <c r="E46" s="4"/>
      <c r="F46" s="4"/>
      <c r="G46" s="4"/>
      <c r="H46" s="58"/>
      <c r="I46" s="5"/>
      <c r="J46" s="5"/>
      <c r="K46" s="5"/>
      <c r="L46" s="5"/>
      <c r="M46" s="5"/>
      <c r="N46" s="5"/>
      <c r="O46" s="5"/>
      <c r="P46" s="5"/>
      <c r="Q46" s="4"/>
    </row>
    <row r="47" spans="1:17" hidden="1">
      <c r="A47" s="4"/>
      <c r="B47" s="4" t="s">
        <v>312</v>
      </c>
      <c r="C47" s="4"/>
      <c r="D47" s="4"/>
      <c r="E47" s="4"/>
      <c r="F47" s="4"/>
      <c r="G47" s="4"/>
      <c r="H47" s="58"/>
      <c r="I47" s="4"/>
      <c r="J47" s="4"/>
      <c r="K47" s="9"/>
      <c r="L47" s="9">
        <f>+I47+J47-K47</f>
        <v>0</v>
      </c>
      <c r="M47" s="9"/>
      <c r="N47" s="9">
        <f>+M47</f>
        <v>0</v>
      </c>
      <c r="O47" s="9">
        <v>0</v>
      </c>
      <c r="P47" s="9">
        <v>0</v>
      </c>
      <c r="Q47" s="4"/>
    </row>
    <row r="48" spans="1:17" hidden="1">
      <c r="A48" s="89"/>
      <c r="B48" s="89"/>
      <c r="C48" s="89"/>
      <c r="D48" s="89"/>
      <c r="E48" s="89"/>
      <c r="F48" s="89"/>
      <c r="G48" s="89"/>
      <c r="H48" s="90"/>
      <c r="I48" s="29">
        <f>+I47</f>
        <v>0</v>
      </c>
      <c r="J48" s="29">
        <f t="shared" ref="J48:P48" si="11">+J47</f>
        <v>0</v>
      </c>
      <c r="K48" s="29">
        <f t="shared" si="11"/>
        <v>0</v>
      </c>
      <c r="L48" s="29">
        <f t="shared" si="11"/>
        <v>0</v>
      </c>
      <c r="M48" s="29">
        <f t="shared" si="11"/>
        <v>0</v>
      </c>
      <c r="N48" s="29">
        <f t="shared" si="11"/>
        <v>0</v>
      </c>
      <c r="O48" s="29">
        <f t="shared" si="11"/>
        <v>0</v>
      </c>
      <c r="P48" s="29">
        <f t="shared" si="11"/>
        <v>0</v>
      </c>
      <c r="Q48" s="89"/>
    </row>
    <row r="49" spans="1:17" hidden="1">
      <c r="A49" s="4"/>
      <c r="B49" s="4" t="s">
        <v>383</v>
      </c>
      <c r="C49" s="4"/>
      <c r="D49" s="4"/>
      <c r="E49" s="4"/>
      <c r="F49" s="4"/>
      <c r="G49" s="4"/>
      <c r="H49" s="58"/>
      <c r="I49" s="9"/>
      <c r="J49" s="4"/>
      <c r="K49" s="4"/>
      <c r="L49" s="9">
        <f>+I49+J49-K49</f>
        <v>0</v>
      </c>
      <c r="M49" s="4"/>
      <c r="N49" s="9">
        <f>+M49</f>
        <v>0</v>
      </c>
      <c r="O49" s="9">
        <v>0</v>
      </c>
      <c r="P49" s="9">
        <v>0</v>
      </c>
      <c r="Q49" s="4"/>
    </row>
    <row r="50" spans="1:17" hidden="1">
      <c r="A50" s="89"/>
      <c r="B50" s="89"/>
      <c r="C50" s="89"/>
      <c r="D50" s="89"/>
      <c r="E50" s="89"/>
      <c r="F50" s="89"/>
      <c r="G50" s="89"/>
      <c r="H50" s="90"/>
      <c r="I50" s="29">
        <f>+I49</f>
        <v>0</v>
      </c>
      <c r="J50" s="29">
        <f t="shared" ref="J50" si="12">+J49</f>
        <v>0</v>
      </c>
      <c r="K50" s="29">
        <f t="shared" ref="K50" si="13">+K49</f>
        <v>0</v>
      </c>
      <c r="L50" s="29">
        <f t="shared" ref="L50" si="14">+L49</f>
        <v>0</v>
      </c>
      <c r="M50" s="29">
        <f t="shared" ref="M50" si="15">+M49</f>
        <v>0</v>
      </c>
      <c r="N50" s="29">
        <f t="shared" ref="N50" si="16">+N49</f>
        <v>0</v>
      </c>
      <c r="O50" s="29">
        <f t="shared" ref="O50" si="17">+O49</f>
        <v>0</v>
      </c>
      <c r="P50" s="29">
        <f t="shared" ref="P50" si="18">+P49</f>
        <v>0</v>
      </c>
      <c r="Q50" s="89"/>
    </row>
    <row r="51" spans="1:17" hidden="1">
      <c r="A51" s="89"/>
      <c r="B51" s="89"/>
      <c r="C51" s="89"/>
      <c r="D51" s="89"/>
      <c r="E51" s="89"/>
      <c r="F51" s="89"/>
      <c r="G51" s="89"/>
      <c r="H51" s="90"/>
      <c r="I51" s="29">
        <f>+I50+I48+I45+I42</f>
        <v>0</v>
      </c>
      <c r="J51" s="29">
        <f t="shared" ref="J51" si="19">+J50+J48+J45+J42</f>
        <v>0</v>
      </c>
      <c r="K51" s="29">
        <f t="shared" ref="K51" si="20">+K50+K48+K45+K42</f>
        <v>0</v>
      </c>
      <c r="L51" s="29">
        <f t="shared" ref="L51" si="21">+L50+L48+L45+L42</f>
        <v>0</v>
      </c>
      <c r="M51" s="29">
        <f t="shared" ref="M51" si="22">+M50+M48+M45+M42</f>
        <v>0</v>
      </c>
      <c r="N51" s="29">
        <f t="shared" ref="N51" si="23">+N50+N48+N45+N42</f>
        <v>0</v>
      </c>
      <c r="O51" s="29">
        <f t="shared" ref="O51" si="24">+O50+O48+O45+O42</f>
        <v>0</v>
      </c>
      <c r="P51" s="29">
        <f t="shared" ref="P51" si="25">+P50+P48+P45+P42</f>
        <v>0</v>
      </c>
      <c r="Q51" s="89"/>
    </row>
    <row r="52" spans="1:17" hidden="1">
      <c r="A52" s="28"/>
      <c r="B52" s="28"/>
      <c r="C52" s="28"/>
      <c r="D52" s="28"/>
      <c r="E52" s="28"/>
      <c r="F52" s="28"/>
      <c r="G52" s="28"/>
      <c r="H52" s="91"/>
      <c r="I52" s="29">
        <f>+I51+I38</f>
        <v>0</v>
      </c>
      <c r="J52" s="29">
        <f t="shared" ref="J52" si="26">+J51+J38</f>
        <v>0</v>
      </c>
      <c r="K52" s="29">
        <f t="shared" ref="K52" si="27">+K51+K38</f>
        <v>0</v>
      </c>
      <c r="L52" s="29">
        <f t="shared" ref="L52" si="28">+L51+L38</f>
        <v>0</v>
      </c>
      <c r="M52" s="29">
        <f t="shared" ref="M52" si="29">+M51+M38</f>
        <v>0</v>
      </c>
      <c r="N52" s="29">
        <f t="shared" ref="N52" si="30">+N51+N38</f>
        <v>0</v>
      </c>
      <c r="O52" s="29">
        <f t="shared" ref="O52" si="31">+O51+O38</f>
        <v>0</v>
      </c>
      <c r="P52" s="29">
        <f t="shared" ref="P52" si="32">+P51+P38</f>
        <v>0</v>
      </c>
      <c r="Q52" s="28"/>
    </row>
    <row r="53" spans="1:17" hidden="1">
      <c r="A53" s="287" t="s">
        <v>272</v>
      </c>
      <c r="B53" s="287"/>
      <c r="C53" s="306" t="s">
        <v>273</v>
      </c>
      <c r="D53" s="306"/>
      <c r="E53" s="306"/>
      <c r="F53" s="306"/>
      <c r="G53" s="306"/>
      <c r="H53" s="306"/>
      <c r="I53" s="306"/>
      <c r="J53" s="306"/>
      <c r="K53" s="306"/>
      <c r="L53" s="306"/>
      <c r="M53" s="306"/>
      <c r="N53" s="306"/>
      <c r="O53" s="306"/>
      <c r="P53" s="306"/>
      <c r="Q53" s="306"/>
    </row>
    <row r="54" spans="1:17" ht="33" hidden="1" customHeight="1">
      <c r="A54" s="304" t="s">
        <v>386</v>
      </c>
      <c r="B54" s="304"/>
      <c r="C54" s="138"/>
      <c r="D54" s="198"/>
      <c r="E54" s="198"/>
      <c r="F54" s="198"/>
      <c r="G54" s="198"/>
      <c r="H54" s="199"/>
      <c r="I54" s="198"/>
      <c r="J54" s="198"/>
      <c r="K54" s="198"/>
      <c r="L54" s="198"/>
      <c r="M54" s="198"/>
      <c r="N54" s="305" t="s">
        <v>467</v>
      </c>
      <c r="O54" s="305"/>
      <c r="P54" s="305"/>
      <c r="Q54" s="198"/>
    </row>
    <row r="55" spans="1:17" ht="56.25" hidden="1">
      <c r="A55" s="111" t="s">
        <v>248</v>
      </c>
      <c r="B55" s="111" t="s">
        <v>302</v>
      </c>
      <c r="C55" s="111" t="s">
        <v>274</v>
      </c>
      <c r="D55" s="111" t="s">
        <v>251</v>
      </c>
      <c r="E55" s="111" t="s">
        <v>275</v>
      </c>
      <c r="F55" s="111" t="s">
        <v>257</v>
      </c>
      <c r="G55" s="111" t="s">
        <v>301</v>
      </c>
      <c r="H55" s="112" t="s">
        <v>258</v>
      </c>
      <c r="I55" s="111" t="s">
        <v>259</v>
      </c>
      <c r="J55" s="111" t="s">
        <v>260</v>
      </c>
      <c r="K55" s="111" t="s">
        <v>261</v>
      </c>
      <c r="L55" s="111" t="s">
        <v>262</v>
      </c>
      <c r="M55" s="111" t="s">
        <v>263</v>
      </c>
      <c r="N55" s="111" t="s">
        <v>264</v>
      </c>
      <c r="O55" s="111" t="s">
        <v>265</v>
      </c>
      <c r="P55" s="111" t="s">
        <v>266</v>
      </c>
      <c r="Q55" s="111" t="s">
        <v>101</v>
      </c>
    </row>
    <row r="56" spans="1:17" ht="15.75" hidden="1">
      <c r="A56" s="92" t="s">
        <v>283</v>
      </c>
      <c r="B56" s="4"/>
      <c r="C56" s="4"/>
      <c r="D56" s="4"/>
      <c r="E56" s="4"/>
      <c r="F56" s="4"/>
      <c r="G56" s="4"/>
      <c r="H56" s="58"/>
      <c r="I56" s="5"/>
      <c r="J56" s="5"/>
      <c r="K56" s="5"/>
      <c r="L56" s="5"/>
      <c r="M56" s="5"/>
      <c r="N56" s="5"/>
      <c r="O56" s="5"/>
      <c r="P56" s="5"/>
      <c r="Q56" s="4"/>
    </row>
    <row r="57" spans="1:17" hidden="1">
      <c r="A57" s="18" t="s">
        <v>276</v>
      </c>
      <c r="B57" s="4"/>
      <c r="C57" s="4"/>
      <c r="D57" s="4"/>
      <c r="E57" s="4"/>
      <c r="F57" s="4"/>
      <c r="G57" s="4"/>
      <c r="H57" s="58"/>
      <c r="I57" s="5"/>
      <c r="J57" s="5"/>
      <c r="K57" s="5"/>
      <c r="L57" s="5"/>
      <c r="M57" s="5"/>
      <c r="N57" s="5"/>
      <c r="O57" s="5"/>
      <c r="P57" s="5"/>
      <c r="Q57" s="4"/>
    </row>
    <row r="58" spans="1:17" hidden="1">
      <c r="A58" s="4"/>
      <c r="B58" s="4"/>
      <c r="C58" s="4"/>
      <c r="D58" s="4"/>
      <c r="E58" s="4"/>
      <c r="F58" s="4"/>
      <c r="G58" s="4"/>
      <c r="H58" s="58"/>
      <c r="I58" s="9"/>
      <c r="J58" s="4"/>
      <c r="K58" s="4"/>
      <c r="L58" s="9">
        <f>+I58+J58-K58</f>
        <v>0</v>
      </c>
      <c r="M58" s="4"/>
      <c r="N58" s="9">
        <f>+M58</f>
        <v>0</v>
      </c>
      <c r="O58" s="9"/>
      <c r="P58" s="9"/>
      <c r="Q58" s="4"/>
    </row>
    <row r="59" spans="1:17" hidden="1">
      <c r="A59" s="89"/>
      <c r="B59" s="89"/>
      <c r="C59" s="89"/>
      <c r="D59" s="89"/>
      <c r="E59" s="89"/>
      <c r="F59" s="89"/>
      <c r="G59" s="89"/>
      <c r="H59" s="90"/>
      <c r="I59" s="29">
        <f>+I58</f>
        <v>0</v>
      </c>
      <c r="J59" s="29">
        <f t="shared" ref="J59:P59" si="33">+J58</f>
        <v>0</v>
      </c>
      <c r="K59" s="29">
        <f t="shared" si="33"/>
        <v>0</v>
      </c>
      <c r="L59" s="29">
        <f t="shared" si="33"/>
        <v>0</v>
      </c>
      <c r="M59" s="29">
        <f t="shared" si="33"/>
        <v>0</v>
      </c>
      <c r="N59" s="29">
        <f t="shared" si="33"/>
        <v>0</v>
      </c>
      <c r="O59" s="29">
        <f t="shared" si="33"/>
        <v>0</v>
      </c>
      <c r="P59" s="29">
        <f t="shared" si="33"/>
        <v>0</v>
      </c>
      <c r="Q59" s="89"/>
    </row>
    <row r="60" spans="1:17" hidden="1">
      <c r="A60" s="18" t="s">
        <v>277</v>
      </c>
      <c r="B60" s="4"/>
      <c r="C60" s="4"/>
      <c r="D60" s="4"/>
      <c r="E60" s="4"/>
      <c r="F60" s="4"/>
      <c r="G60" s="4"/>
      <c r="H60" s="58"/>
      <c r="I60" s="5"/>
      <c r="J60" s="5"/>
      <c r="K60" s="5"/>
      <c r="L60" s="5"/>
      <c r="M60" s="5"/>
      <c r="N60" s="5"/>
      <c r="O60" s="5"/>
      <c r="P60" s="5"/>
      <c r="Q60" s="4"/>
    </row>
    <row r="61" spans="1:17" hidden="1">
      <c r="A61" s="4"/>
      <c r="B61" s="4"/>
      <c r="C61" s="4"/>
      <c r="D61" s="4"/>
      <c r="E61" s="4"/>
      <c r="F61" s="4"/>
      <c r="G61" s="4"/>
      <c r="H61" s="58"/>
      <c r="I61" s="9"/>
      <c r="J61" s="4"/>
      <c r="K61" s="4"/>
      <c r="L61" s="9">
        <f>+I61+J61-K61</f>
        <v>0</v>
      </c>
      <c r="M61" s="4"/>
      <c r="N61" s="9">
        <f>+M61</f>
        <v>0</v>
      </c>
      <c r="O61" s="9"/>
      <c r="P61" s="9"/>
      <c r="Q61" s="4"/>
    </row>
    <row r="62" spans="1:17" hidden="1">
      <c r="A62" s="89"/>
      <c r="B62" s="89"/>
      <c r="C62" s="89"/>
      <c r="D62" s="89"/>
      <c r="E62" s="89"/>
      <c r="F62" s="89"/>
      <c r="G62" s="89"/>
      <c r="H62" s="90"/>
      <c r="I62" s="29">
        <f>+I61</f>
        <v>0</v>
      </c>
      <c r="J62" s="29">
        <f t="shared" ref="J62:P62" si="34">+J61</f>
        <v>0</v>
      </c>
      <c r="K62" s="29">
        <f t="shared" si="34"/>
        <v>0</v>
      </c>
      <c r="L62" s="29">
        <f t="shared" si="34"/>
        <v>0</v>
      </c>
      <c r="M62" s="29">
        <f t="shared" si="34"/>
        <v>0</v>
      </c>
      <c r="N62" s="29">
        <f t="shared" si="34"/>
        <v>0</v>
      </c>
      <c r="O62" s="29">
        <f t="shared" si="34"/>
        <v>0</v>
      </c>
      <c r="P62" s="29">
        <f t="shared" si="34"/>
        <v>0</v>
      </c>
      <c r="Q62" s="89"/>
    </row>
    <row r="63" spans="1:17" hidden="1">
      <c r="A63" s="18" t="s">
        <v>278</v>
      </c>
      <c r="B63" s="4"/>
      <c r="C63" s="4"/>
      <c r="D63" s="4"/>
      <c r="E63" s="4"/>
      <c r="F63" s="4"/>
      <c r="G63" s="4"/>
      <c r="H63" s="58"/>
      <c r="I63" s="5"/>
      <c r="J63" s="5"/>
      <c r="K63" s="5"/>
      <c r="L63" s="5"/>
      <c r="M63" s="5"/>
      <c r="N63" s="5"/>
      <c r="O63" s="5"/>
      <c r="P63" s="5"/>
      <c r="Q63" s="4"/>
    </row>
    <row r="64" spans="1:17" hidden="1">
      <c r="A64" s="4"/>
      <c r="B64" s="4"/>
      <c r="C64" s="4"/>
      <c r="D64" s="4"/>
      <c r="E64" s="4"/>
      <c r="F64" s="4"/>
      <c r="G64" s="4"/>
      <c r="H64" s="58"/>
      <c r="I64" s="9"/>
      <c r="J64" s="4"/>
      <c r="K64" s="4"/>
      <c r="L64" s="9">
        <f>+I64+J64-K64</f>
        <v>0</v>
      </c>
      <c r="M64" s="4"/>
      <c r="N64" s="9">
        <f>+M64</f>
        <v>0</v>
      </c>
      <c r="O64" s="9"/>
      <c r="P64" s="9"/>
      <c r="Q64" s="4"/>
    </row>
    <row r="65" spans="1:17" hidden="1">
      <c r="A65" s="89"/>
      <c r="B65" s="89"/>
      <c r="C65" s="89"/>
      <c r="D65" s="89"/>
      <c r="E65" s="89"/>
      <c r="F65" s="89"/>
      <c r="G65" s="89"/>
      <c r="H65" s="90"/>
      <c r="I65" s="29">
        <f>+I64</f>
        <v>0</v>
      </c>
      <c r="J65" s="29">
        <f t="shared" ref="J65:P65" si="35">+J64</f>
        <v>0</v>
      </c>
      <c r="K65" s="29">
        <f t="shared" si="35"/>
        <v>0</v>
      </c>
      <c r="L65" s="29">
        <f t="shared" si="35"/>
        <v>0</v>
      </c>
      <c r="M65" s="29">
        <f t="shared" si="35"/>
        <v>0</v>
      </c>
      <c r="N65" s="29">
        <f t="shared" si="35"/>
        <v>0</v>
      </c>
      <c r="O65" s="29">
        <f t="shared" si="35"/>
        <v>0</v>
      </c>
      <c r="P65" s="29">
        <f t="shared" si="35"/>
        <v>0</v>
      </c>
      <c r="Q65" s="89"/>
    </row>
    <row r="66" spans="1:17" hidden="1">
      <c r="A66" s="18" t="s">
        <v>279</v>
      </c>
      <c r="B66" s="4"/>
      <c r="C66" s="4"/>
      <c r="D66" s="4"/>
      <c r="E66" s="4"/>
      <c r="F66" s="4"/>
      <c r="G66" s="4"/>
      <c r="H66" s="58"/>
      <c r="I66" s="4"/>
      <c r="J66" s="4"/>
      <c r="K66" s="4"/>
      <c r="L66" s="4"/>
      <c r="M66" s="4"/>
      <c r="N66" s="4"/>
      <c r="O66" s="4"/>
      <c r="P66" s="4"/>
      <c r="Q66" s="4"/>
    </row>
    <row r="67" spans="1:17" hidden="1">
      <c r="A67" s="4"/>
      <c r="B67" s="4" t="s">
        <v>280</v>
      </c>
      <c r="C67" s="4"/>
      <c r="D67" s="4"/>
      <c r="E67" s="4"/>
      <c r="F67" s="4"/>
      <c r="G67" s="4"/>
      <c r="H67" s="58"/>
      <c r="I67" s="9">
        <v>379.57</v>
      </c>
      <c r="J67" s="9">
        <v>652.21</v>
      </c>
      <c r="K67" s="9">
        <v>72.75</v>
      </c>
      <c r="L67" s="9">
        <f t="shared" ref="L67:L71" si="36">+I67+J67-K67</f>
        <v>959.03</v>
      </c>
      <c r="M67" s="9">
        <v>57.56</v>
      </c>
      <c r="N67" s="9">
        <f t="shared" ref="N67:N88" si="37">+M67</f>
        <v>57.56</v>
      </c>
      <c r="O67" s="9"/>
      <c r="P67" s="9"/>
      <c r="Q67" s="4"/>
    </row>
    <row r="68" spans="1:17" hidden="1">
      <c r="A68" s="4"/>
      <c r="B68" s="4" t="s">
        <v>281</v>
      </c>
      <c r="C68" s="4"/>
      <c r="D68" s="4"/>
      <c r="E68" s="4"/>
      <c r="F68" s="4"/>
      <c r="G68" s="4"/>
      <c r="H68" s="58"/>
      <c r="I68" s="9">
        <v>890.63</v>
      </c>
      <c r="J68" s="9">
        <v>107.7</v>
      </c>
      <c r="K68" s="9">
        <v>91.05</v>
      </c>
      <c r="L68" s="9">
        <f t="shared" si="36"/>
        <v>907.28000000000009</v>
      </c>
      <c r="M68" s="9">
        <v>88.86</v>
      </c>
      <c r="N68" s="9">
        <f t="shared" si="37"/>
        <v>88.86</v>
      </c>
      <c r="O68" s="9"/>
      <c r="P68" s="9"/>
      <c r="Q68" s="4"/>
    </row>
    <row r="69" spans="1:17" hidden="1">
      <c r="A69" s="4"/>
      <c r="B69" s="4" t="s">
        <v>285</v>
      </c>
      <c r="C69" s="4"/>
      <c r="D69" s="4"/>
      <c r="E69" s="4"/>
      <c r="F69" s="4"/>
      <c r="G69" s="4"/>
      <c r="H69" s="58"/>
      <c r="I69" s="9">
        <v>4.6500000000000004</v>
      </c>
      <c r="J69" s="9">
        <v>1.55</v>
      </c>
      <c r="K69" s="9">
        <v>3.52</v>
      </c>
      <c r="L69" s="9">
        <f t="shared" si="36"/>
        <v>2.68</v>
      </c>
      <c r="M69" s="9">
        <v>0.28000000000000003</v>
      </c>
      <c r="N69" s="9">
        <f t="shared" si="37"/>
        <v>0.28000000000000003</v>
      </c>
      <c r="O69" s="9"/>
      <c r="P69" s="9"/>
      <c r="Q69" s="4"/>
    </row>
    <row r="70" spans="1:17" hidden="1">
      <c r="A70" s="4"/>
      <c r="B70" s="4" t="s">
        <v>286</v>
      </c>
      <c r="C70" s="4"/>
      <c r="D70" s="4"/>
      <c r="E70" s="4"/>
      <c r="F70" s="4"/>
      <c r="G70" s="4"/>
      <c r="H70" s="58"/>
      <c r="I70" s="9">
        <v>1.79</v>
      </c>
      <c r="J70" s="9">
        <v>0.35</v>
      </c>
      <c r="K70" s="9">
        <v>2.14</v>
      </c>
      <c r="L70" s="9">
        <f t="shared" si="36"/>
        <v>0</v>
      </c>
      <c r="M70" s="9">
        <v>0.04</v>
      </c>
      <c r="N70" s="9">
        <f t="shared" si="37"/>
        <v>0.04</v>
      </c>
      <c r="O70" s="9"/>
      <c r="P70" s="9"/>
      <c r="Q70" s="4"/>
    </row>
    <row r="71" spans="1:17" hidden="1">
      <c r="A71" s="4"/>
      <c r="B71" s="4" t="s">
        <v>287</v>
      </c>
      <c r="C71" s="4"/>
      <c r="D71" s="4"/>
      <c r="E71" s="4"/>
      <c r="F71" s="4"/>
      <c r="G71" s="4"/>
      <c r="H71" s="58"/>
      <c r="I71" s="9">
        <v>25.93</v>
      </c>
      <c r="J71" s="9">
        <v>3.49</v>
      </c>
      <c r="K71" s="9">
        <v>2.58</v>
      </c>
      <c r="L71" s="9">
        <f t="shared" si="36"/>
        <v>26.840000000000003</v>
      </c>
      <c r="M71" s="9">
        <v>2.67</v>
      </c>
      <c r="N71" s="9">
        <f t="shared" si="37"/>
        <v>2.67</v>
      </c>
      <c r="O71" s="9"/>
      <c r="P71" s="9"/>
      <c r="Q71" s="4"/>
    </row>
    <row r="72" spans="1:17" hidden="1">
      <c r="A72" s="4"/>
      <c r="B72" s="4" t="s">
        <v>371</v>
      </c>
      <c r="C72" s="4"/>
      <c r="D72" s="4"/>
      <c r="E72" s="4"/>
      <c r="F72" s="4"/>
      <c r="G72" s="4"/>
      <c r="H72" s="58"/>
      <c r="I72" s="9">
        <v>15.19</v>
      </c>
      <c r="J72" s="9">
        <v>0</v>
      </c>
      <c r="K72" s="9">
        <v>1.84</v>
      </c>
      <c r="L72" s="9">
        <f>+I72+J72-K72</f>
        <v>13.35</v>
      </c>
      <c r="M72" s="9">
        <v>1.08</v>
      </c>
      <c r="N72" s="9">
        <f t="shared" si="37"/>
        <v>1.08</v>
      </c>
      <c r="O72" s="9"/>
      <c r="P72" s="9"/>
      <c r="Q72" s="4"/>
    </row>
    <row r="73" spans="1:17" hidden="1">
      <c r="A73" s="4"/>
      <c r="B73" s="4" t="s">
        <v>288</v>
      </c>
      <c r="C73" s="4"/>
      <c r="D73" s="4"/>
      <c r="E73" s="4"/>
      <c r="F73" s="4"/>
      <c r="G73" s="4"/>
      <c r="H73" s="58"/>
      <c r="I73" s="9">
        <v>1.1299999999999999</v>
      </c>
      <c r="J73" s="9">
        <v>0</v>
      </c>
      <c r="K73" s="9">
        <v>1.1299999999999999</v>
      </c>
      <c r="L73" s="9">
        <f t="shared" ref="L73:L86" si="38">+I73+J73-K73</f>
        <v>0</v>
      </c>
      <c r="M73" s="9">
        <v>0.05</v>
      </c>
      <c r="N73" s="9">
        <f t="shared" si="37"/>
        <v>0.05</v>
      </c>
      <c r="O73" s="9"/>
      <c r="P73" s="9"/>
      <c r="Q73" s="4"/>
    </row>
    <row r="74" spans="1:17" hidden="1">
      <c r="A74" s="4"/>
      <c r="B74" s="4" t="s">
        <v>289</v>
      </c>
      <c r="C74" s="4"/>
      <c r="D74" s="4"/>
      <c r="E74" s="4"/>
      <c r="F74" s="4"/>
      <c r="G74" s="4"/>
      <c r="H74" s="58"/>
      <c r="I74" s="9">
        <v>11.8</v>
      </c>
      <c r="J74" s="9">
        <v>0.34</v>
      </c>
      <c r="K74" s="9">
        <v>1.28</v>
      </c>
      <c r="L74" s="9">
        <f t="shared" si="38"/>
        <v>10.860000000000001</v>
      </c>
      <c r="M74" s="9">
        <v>0.96</v>
      </c>
      <c r="N74" s="9">
        <f t="shared" si="37"/>
        <v>0.96</v>
      </c>
      <c r="O74" s="9"/>
      <c r="P74" s="9"/>
      <c r="Q74" s="4"/>
    </row>
    <row r="75" spans="1:17" hidden="1">
      <c r="A75" s="4"/>
      <c r="B75" s="4" t="s">
        <v>290</v>
      </c>
      <c r="C75" s="4"/>
      <c r="D75" s="4"/>
      <c r="E75" s="4"/>
      <c r="F75" s="4"/>
      <c r="G75" s="4"/>
      <c r="H75" s="58"/>
      <c r="I75" s="9">
        <v>29.67</v>
      </c>
      <c r="J75" s="9">
        <v>0</v>
      </c>
      <c r="K75" s="9">
        <v>4.28</v>
      </c>
      <c r="L75" s="9">
        <f t="shared" si="38"/>
        <v>25.39</v>
      </c>
      <c r="M75" s="9">
        <v>2.62</v>
      </c>
      <c r="N75" s="9">
        <f t="shared" si="37"/>
        <v>2.62</v>
      </c>
      <c r="O75" s="9"/>
      <c r="P75" s="9"/>
      <c r="Q75" s="4"/>
    </row>
    <row r="76" spans="1:17" hidden="1">
      <c r="A76" s="4"/>
      <c r="B76" s="4" t="s">
        <v>291</v>
      </c>
      <c r="C76" s="4"/>
      <c r="D76" s="4"/>
      <c r="E76" s="4"/>
      <c r="F76" s="4"/>
      <c r="G76" s="4"/>
      <c r="H76" s="58"/>
      <c r="I76" s="9">
        <v>120.31</v>
      </c>
      <c r="J76" s="9">
        <v>5.31</v>
      </c>
      <c r="K76" s="9">
        <v>20.13</v>
      </c>
      <c r="L76" s="9">
        <f t="shared" si="38"/>
        <v>105.49000000000001</v>
      </c>
      <c r="M76" s="9">
        <v>10.26</v>
      </c>
      <c r="N76" s="9">
        <f t="shared" si="37"/>
        <v>10.26</v>
      </c>
      <c r="O76" s="9"/>
      <c r="P76" s="9"/>
      <c r="Q76" s="4"/>
    </row>
    <row r="77" spans="1:17" hidden="1">
      <c r="A77" s="4"/>
      <c r="B77" s="4" t="s">
        <v>292</v>
      </c>
      <c r="C77" s="4"/>
      <c r="D77" s="4"/>
      <c r="E77" s="4"/>
      <c r="F77" s="4"/>
      <c r="G77" s="4"/>
      <c r="H77" s="58"/>
      <c r="I77" s="9">
        <v>2.2999999999999998</v>
      </c>
      <c r="J77" s="9">
        <v>0</v>
      </c>
      <c r="K77" s="9">
        <v>1.22</v>
      </c>
      <c r="L77" s="9">
        <f t="shared" si="38"/>
        <v>1.0799999999999998</v>
      </c>
      <c r="M77" s="9">
        <v>0.16</v>
      </c>
      <c r="N77" s="9">
        <f t="shared" si="37"/>
        <v>0.16</v>
      </c>
      <c r="O77" s="9"/>
      <c r="P77" s="9"/>
      <c r="Q77" s="4"/>
    </row>
    <row r="78" spans="1:17" hidden="1">
      <c r="A78" s="4"/>
      <c r="B78" s="4" t="s">
        <v>293</v>
      </c>
      <c r="C78" s="4"/>
      <c r="D78" s="4"/>
      <c r="E78" s="4"/>
      <c r="F78" s="4"/>
      <c r="G78" s="4"/>
      <c r="H78" s="58"/>
      <c r="I78" s="9">
        <v>27.66</v>
      </c>
      <c r="J78" s="9">
        <v>1.3</v>
      </c>
      <c r="K78" s="9">
        <v>5.5</v>
      </c>
      <c r="L78" s="9">
        <f t="shared" si="38"/>
        <v>23.46</v>
      </c>
      <c r="M78" s="9">
        <v>2.34</v>
      </c>
      <c r="N78" s="9">
        <f t="shared" si="37"/>
        <v>2.34</v>
      </c>
      <c r="O78" s="9"/>
      <c r="P78" s="9"/>
      <c r="Q78" s="4"/>
    </row>
    <row r="79" spans="1:17" hidden="1">
      <c r="A79" s="4"/>
      <c r="B79" s="4" t="s">
        <v>294</v>
      </c>
      <c r="C79" s="4"/>
      <c r="D79" s="4"/>
      <c r="E79" s="4"/>
      <c r="F79" s="4"/>
      <c r="G79" s="4"/>
      <c r="H79" s="58"/>
      <c r="I79" s="9">
        <v>11.61</v>
      </c>
      <c r="J79" s="9">
        <v>0</v>
      </c>
      <c r="K79" s="9">
        <v>1.65</v>
      </c>
      <c r="L79" s="9">
        <f t="shared" si="38"/>
        <v>9.9599999999999991</v>
      </c>
      <c r="M79" s="9">
        <v>1.01</v>
      </c>
      <c r="N79" s="9">
        <f t="shared" si="37"/>
        <v>1.01</v>
      </c>
      <c r="O79" s="9"/>
      <c r="P79" s="9"/>
      <c r="Q79" s="4"/>
    </row>
    <row r="80" spans="1:17" hidden="1">
      <c r="A80" s="4"/>
      <c r="B80" s="4" t="s">
        <v>295</v>
      </c>
      <c r="C80" s="4"/>
      <c r="D80" s="4"/>
      <c r="E80" s="4"/>
      <c r="F80" s="4"/>
      <c r="G80" s="4"/>
      <c r="H80" s="58"/>
      <c r="I80" s="9">
        <v>14.96</v>
      </c>
      <c r="J80" s="9">
        <v>0</v>
      </c>
      <c r="K80" s="9">
        <v>2.41</v>
      </c>
      <c r="L80" s="9">
        <f t="shared" si="38"/>
        <v>12.55</v>
      </c>
      <c r="M80" s="9">
        <v>1.28</v>
      </c>
      <c r="N80" s="9">
        <f t="shared" si="37"/>
        <v>1.28</v>
      </c>
      <c r="O80" s="9"/>
      <c r="P80" s="9"/>
      <c r="Q80" s="4"/>
    </row>
    <row r="81" spans="1:17" hidden="1">
      <c r="A81" s="4"/>
      <c r="B81" s="4" t="s">
        <v>296</v>
      </c>
      <c r="C81" s="4"/>
      <c r="D81" s="4"/>
      <c r="E81" s="4"/>
      <c r="F81" s="4"/>
      <c r="G81" s="4"/>
      <c r="H81" s="58"/>
      <c r="I81" s="9">
        <v>5.72</v>
      </c>
      <c r="J81" s="9"/>
      <c r="K81" s="9">
        <v>0.92</v>
      </c>
      <c r="L81" s="9">
        <f t="shared" si="38"/>
        <v>4.8</v>
      </c>
      <c r="M81" s="9">
        <v>0.5</v>
      </c>
      <c r="N81" s="9">
        <f t="shared" si="37"/>
        <v>0.5</v>
      </c>
      <c r="O81" s="9"/>
      <c r="P81" s="9"/>
      <c r="Q81" s="4"/>
    </row>
    <row r="82" spans="1:17" hidden="1">
      <c r="A82" s="4"/>
      <c r="B82" s="4" t="s">
        <v>297</v>
      </c>
      <c r="C82" s="4"/>
      <c r="D82" s="4"/>
      <c r="E82" s="4"/>
      <c r="F82" s="4"/>
      <c r="G82" s="4"/>
      <c r="H82" s="58"/>
      <c r="I82" s="9">
        <v>5.59</v>
      </c>
      <c r="J82" s="9">
        <v>0</v>
      </c>
      <c r="K82" s="9">
        <v>0.8</v>
      </c>
      <c r="L82" s="9">
        <f t="shared" si="38"/>
        <v>4.79</v>
      </c>
      <c r="M82" s="9">
        <v>0.47</v>
      </c>
      <c r="N82" s="9">
        <f t="shared" si="37"/>
        <v>0.47</v>
      </c>
      <c r="O82" s="9"/>
      <c r="P82" s="9"/>
      <c r="Q82" s="4"/>
    </row>
    <row r="83" spans="1:17" hidden="1">
      <c r="A83" s="4"/>
      <c r="B83" s="200" t="s">
        <v>469</v>
      </c>
      <c r="C83" s="4"/>
      <c r="D83" s="4"/>
      <c r="E83" s="4"/>
      <c r="F83" s="4"/>
      <c r="G83" s="4"/>
      <c r="H83" s="58"/>
      <c r="I83" s="9">
        <v>0</v>
      </c>
      <c r="J83" s="9">
        <v>0</v>
      </c>
      <c r="K83" s="9">
        <v>0</v>
      </c>
      <c r="L83" s="9">
        <f t="shared" ref="L83" si="39">+I83+J83-K83</f>
        <v>0</v>
      </c>
      <c r="M83" s="9">
        <v>0</v>
      </c>
      <c r="N83" s="9">
        <f t="shared" ref="N83" si="40">+M83</f>
        <v>0</v>
      </c>
      <c r="O83" s="9"/>
      <c r="P83" s="9"/>
      <c r="Q83" s="4"/>
    </row>
    <row r="84" spans="1:17" hidden="1">
      <c r="A84" s="4"/>
      <c r="B84" s="4" t="s">
        <v>298</v>
      </c>
      <c r="C84" s="4"/>
      <c r="D84" s="4"/>
      <c r="E84" s="4"/>
      <c r="F84" s="4"/>
      <c r="G84" s="4"/>
      <c r="H84" s="58"/>
      <c r="I84" s="9">
        <v>67.430000000000007</v>
      </c>
      <c r="J84" s="9">
        <v>0</v>
      </c>
      <c r="K84" s="9">
        <v>6.95</v>
      </c>
      <c r="L84" s="9">
        <f t="shared" si="38"/>
        <v>60.480000000000004</v>
      </c>
      <c r="M84" s="9">
        <v>5.98</v>
      </c>
      <c r="N84" s="9">
        <f t="shared" si="37"/>
        <v>5.98</v>
      </c>
      <c r="O84" s="9"/>
      <c r="P84" s="9"/>
      <c r="Q84" s="4"/>
    </row>
    <row r="85" spans="1:17" hidden="1">
      <c r="A85" s="4"/>
      <c r="B85" s="4" t="s">
        <v>299</v>
      </c>
      <c r="C85" s="4"/>
      <c r="D85" s="4"/>
      <c r="E85" s="4"/>
      <c r="F85" s="4"/>
      <c r="G85" s="4"/>
      <c r="H85" s="58"/>
      <c r="I85" s="9">
        <v>70.16</v>
      </c>
      <c r="J85" s="9">
        <v>9.34</v>
      </c>
      <c r="K85" s="9">
        <v>0</v>
      </c>
      <c r="L85" s="9">
        <f t="shared" si="38"/>
        <v>79.5</v>
      </c>
      <c r="M85" s="9">
        <v>7.26</v>
      </c>
      <c r="N85" s="9">
        <f t="shared" si="37"/>
        <v>7.26</v>
      </c>
      <c r="O85" s="9"/>
      <c r="P85" s="9"/>
      <c r="Q85" s="4"/>
    </row>
    <row r="86" spans="1:17" hidden="1">
      <c r="A86" s="4"/>
      <c r="B86" s="4" t="s">
        <v>300</v>
      </c>
      <c r="C86" s="4"/>
      <c r="D86" s="4"/>
      <c r="E86" s="4"/>
      <c r="F86" s="4"/>
      <c r="G86" s="4"/>
      <c r="H86" s="58"/>
      <c r="I86" s="9">
        <v>21.5</v>
      </c>
      <c r="J86" s="9">
        <v>2.99</v>
      </c>
      <c r="K86" s="9">
        <v>2.0299999999999998</v>
      </c>
      <c r="L86" s="9">
        <f t="shared" si="38"/>
        <v>22.46</v>
      </c>
      <c r="M86" s="9">
        <v>2.1</v>
      </c>
      <c r="N86" s="9">
        <f t="shared" si="37"/>
        <v>2.1</v>
      </c>
      <c r="O86" s="9"/>
      <c r="P86" s="9"/>
      <c r="Q86" s="4"/>
    </row>
    <row r="87" spans="1:17" hidden="1">
      <c r="A87" s="4"/>
      <c r="B87" s="4" t="s">
        <v>372</v>
      </c>
      <c r="C87" s="4"/>
      <c r="D87" s="4"/>
      <c r="E87" s="4"/>
      <c r="F87" s="4"/>
      <c r="G87" s="4"/>
      <c r="H87" s="58"/>
      <c r="I87" s="9">
        <v>3.85</v>
      </c>
      <c r="J87" s="9">
        <v>1.39</v>
      </c>
      <c r="K87" s="9">
        <v>0.13</v>
      </c>
      <c r="L87" s="9">
        <f>+I87+J87-K87</f>
        <v>5.1100000000000003</v>
      </c>
      <c r="M87" s="9">
        <v>0.36</v>
      </c>
      <c r="N87" s="9">
        <f t="shared" si="37"/>
        <v>0.36</v>
      </c>
      <c r="O87" s="9"/>
      <c r="P87" s="9"/>
      <c r="Q87" s="4"/>
    </row>
    <row r="88" spans="1:17" hidden="1">
      <c r="A88" s="4"/>
      <c r="B88" s="4" t="s">
        <v>410</v>
      </c>
      <c r="C88" s="4"/>
      <c r="D88" s="4"/>
      <c r="E88" s="4"/>
      <c r="F88" s="4"/>
      <c r="G88" s="4"/>
      <c r="H88" s="58"/>
      <c r="I88" s="9">
        <v>3.77</v>
      </c>
      <c r="J88" s="9">
        <v>7.85</v>
      </c>
      <c r="K88" s="9">
        <v>0</v>
      </c>
      <c r="L88" s="9">
        <f>+I88+J88-K88</f>
        <v>11.62</v>
      </c>
      <c r="M88" s="9">
        <v>0.57999999999999996</v>
      </c>
      <c r="N88" s="9">
        <f t="shared" si="37"/>
        <v>0.57999999999999996</v>
      </c>
      <c r="O88" s="9"/>
      <c r="P88" s="9"/>
      <c r="Q88" s="4"/>
    </row>
    <row r="89" spans="1:17" hidden="1">
      <c r="A89" s="89"/>
      <c r="B89" s="89"/>
      <c r="C89" s="89"/>
      <c r="D89" s="89"/>
      <c r="E89" s="89"/>
      <c r="F89" s="89"/>
      <c r="G89" s="89"/>
      <c r="H89" s="90"/>
      <c r="I89" s="29">
        <f>SUM(I67:I88)</f>
        <v>1715.2200000000003</v>
      </c>
      <c r="J89" s="29">
        <f t="shared" ref="J89:P89" si="41">SUM(J67:J88)</f>
        <v>793.82</v>
      </c>
      <c r="K89" s="29">
        <f t="shared" si="41"/>
        <v>222.31</v>
      </c>
      <c r="L89" s="29">
        <f t="shared" si="41"/>
        <v>2286.7300000000005</v>
      </c>
      <c r="M89" s="29">
        <f t="shared" si="41"/>
        <v>186.42000000000002</v>
      </c>
      <c r="N89" s="29">
        <f t="shared" si="41"/>
        <v>186.42000000000002</v>
      </c>
      <c r="O89" s="29">
        <f t="shared" si="41"/>
        <v>0</v>
      </c>
      <c r="P89" s="29">
        <f t="shared" si="41"/>
        <v>0</v>
      </c>
      <c r="Q89" s="89"/>
    </row>
    <row r="90" spans="1:17" hidden="1">
      <c r="A90" s="28"/>
      <c r="B90" s="28"/>
      <c r="C90" s="28"/>
      <c r="D90" s="28"/>
      <c r="E90" s="28"/>
      <c r="F90" s="28"/>
      <c r="G90" s="28"/>
      <c r="H90" s="91"/>
      <c r="I90" s="29">
        <f t="shared" ref="I90" si="42">+I59+I62+I65+I89</f>
        <v>1715.2200000000003</v>
      </c>
      <c r="J90" s="29">
        <f t="shared" ref="J90" si="43">+J59+J62+J65+J89</f>
        <v>793.82</v>
      </c>
      <c r="K90" s="29">
        <f t="shared" ref="K90" si="44">+K59+K62+K65+K89</f>
        <v>222.31</v>
      </c>
      <c r="L90" s="29">
        <f t="shared" ref="L90" si="45">+L59+L62+L65+L89</f>
        <v>2286.7300000000005</v>
      </c>
      <c r="M90" s="29">
        <f t="shared" ref="M90" si="46">+M59+M62+M65+M89</f>
        <v>186.42000000000002</v>
      </c>
      <c r="N90" s="29">
        <f t="shared" ref="N90" si="47">+N59+N62+N65+N89</f>
        <v>186.42000000000002</v>
      </c>
      <c r="O90" s="29">
        <f t="shared" ref="O90" si="48">+O59+O62+O65+O89</f>
        <v>0</v>
      </c>
      <c r="P90" s="29">
        <f t="shared" ref="P90" si="49">+P59+P62+P65+P89</f>
        <v>0</v>
      </c>
      <c r="Q90" s="28"/>
    </row>
    <row r="91" spans="1:17" ht="15.75" hidden="1">
      <c r="A91" s="92" t="s">
        <v>282</v>
      </c>
      <c r="B91" s="4"/>
      <c r="C91" s="4"/>
      <c r="D91" s="4"/>
      <c r="E91" s="4"/>
      <c r="F91" s="4"/>
      <c r="G91" s="4"/>
      <c r="H91" s="58"/>
      <c r="I91" s="4"/>
      <c r="J91" s="4"/>
      <c r="K91" s="4"/>
      <c r="L91" s="4"/>
      <c r="M91" s="4"/>
      <c r="N91" s="4"/>
      <c r="O91" s="4"/>
      <c r="P91" s="4"/>
      <c r="Q91" s="4"/>
    </row>
    <row r="92" spans="1:17" hidden="1">
      <c r="A92" s="18" t="s">
        <v>276</v>
      </c>
      <c r="B92" s="4"/>
      <c r="C92" s="4"/>
      <c r="D92" s="4"/>
      <c r="E92" s="4"/>
      <c r="F92" s="4"/>
      <c r="G92" s="4"/>
      <c r="H92" s="58"/>
      <c r="I92" s="5"/>
      <c r="J92" s="5"/>
      <c r="K92" s="5"/>
      <c r="L92" s="5"/>
      <c r="M92" s="5"/>
      <c r="N92" s="5"/>
      <c r="O92" s="5"/>
      <c r="P92" s="5"/>
      <c r="Q92" s="4"/>
    </row>
    <row r="93" spans="1:17" hidden="1">
      <c r="A93" s="18"/>
      <c r="B93" s="4"/>
      <c r="C93" s="4"/>
      <c r="D93" s="4"/>
      <c r="E93" s="4"/>
      <c r="F93" s="4"/>
      <c r="G93" s="4"/>
      <c r="H93" s="58"/>
      <c r="I93" s="9"/>
      <c r="J93" s="5"/>
      <c r="K93" s="36"/>
      <c r="L93" s="9">
        <f>+I93+J93-K93</f>
        <v>0</v>
      </c>
      <c r="M93" s="4"/>
      <c r="N93" s="9">
        <f>+M93</f>
        <v>0</v>
      </c>
      <c r="O93" s="9"/>
      <c r="P93" s="9"/>
      <c r="Q93" s="4"/>
    </row>
    <row r="94" spans="1:17" hidden="1">
      <c r="A94" s="89"/>
      <c r="B94" s="89"/>
      <c r="C94" s="89"/>
      <c r="D94" s="89"/>
      <c r="E94" s="89"/>
      <c r="F94" s="89"/>
      <c r="G94" s="89"/>
      <c r="H94" s="90"/>
      <c r="I94" s="29">
        <f t="shared" ref="I94" si="50">SUM(I93:I93)</f>
        <v>0</v>
      </c>
      <c r="J94" s="29">
        <f t="shared" ref="J94" si="51">SUM(J93:J93)</f>
        <v>0</v>
      </c>
      <c r="K94" s="29">
        <f t="shared" ref="K94" si="52">SUM(K93:K93)</f>
        <v>0</v>
      </c>
      <c r="L94" s="29">
        <f t="shared" ref="L94" si="53">SUM(L93:L93)</f>
        <v>0</v>
      </c>
      <c r="M94" s="29">
        <f t="shared" ref="M94" si="54">SUM(M93:M93)</f>
        <v>0</v>
      </c>
      <c r="N94" s="29">
        <f t="shared" ref="N94" si="55">SUM(N93:N93)</f>
        <v>0</v>
      </c>
      <c r="O94" s="29">
        <f t="shared" ref="O94" si="56">SUM(O93:O93)</f>
        <v>0</v>
      </c>
      <c r="P94" s="29">
        <f t="shared" ref="P94" si="57">SUM(P93:P93)</f>
        <v>0</v>
      </c>
      <c r="Q94" s="89"/>
    </row>
    <row r="95" spans="1:17" hidden="1">
      <c r="A95" s="18" t="s">
        <v>277</v>
      </c>
      <c r="B95" s="4"/>
      <c r="C95" s="4"/>
      <c r="D95" s="4"/>
      <c r="E95" s="4"/>
      <c r="F95" s="4"/>
      <c r="G95" s="4"/>
      <c r="H95" s="58"/>
      <c r="I95" s="5"/>
      <c r="J95" s="5"/>
      <c r="K95" s="5"/>
      <c r="L95" s="5"/>
      <c r="M95" s="5"/>
      <c r="N95" s="5"/>
      <c r="O95" s="5"/>
      <c r="P95" s="5"/>
      <c r="Q95" s="4"/>
    </row>
    <row r="96" spans="1:17" hidden="1">
      <c r="A96" s="4"/>
      <c r="B96" s="4"/>
      <c r="C96" s="4"/>
      <c r="D96" s="4"/>
      <c r="E96" s="4"/>
      <c r="F96" s="4"/>
      <c r="G96" s="4"/>
      <c r="H96" s="58"/>
      <c r="I96" s="9"/>
      <c r="J96" s="4"/>
      <c r="K96" s="4"/>
      <c r="L96" s="9">
        <f>+I96+J96-K96</f>
        <v>0</v>
      </c>
      <c r="M96" s="4"/>
      <c r="N96" s="9">
        <f>+M96</f>
        <v>0</v>
      </c>
      <c r="O96" s="9"/>
      <c r="P96" s="9"/>
      <c r="Q96" s="4"/>
    </row>
    <row r="97" spans="1:17" hidden="1">
      <c r="A97" s="89"/>
      <c r="B97" s="89"/>
      <c r="C97" s="89"/>
      <c r="D97" s="89"/>
      <c r="E97" s="89"/>
      <c r="F97" s="89"/>
      <c r="G97" s="89"/>
      <c r="H97" s="90"/>
      <c r="I97" s="29">
        <f>+I96</f>
        <v>0</v>
      </c>
      <c r="J97" s="29">
        <f t="shared" ref="J97:P97" si="58">+J96</f>
        <v>0</v>
      </c>
      <c r="K97" s="29">
        <f t="shared" si="58"/>
        <v>0</v>
      </c>
      <c r="L97" s="29">
        <f t="shared" si="58"/>
        <v>0</v>
      </c>
      <c r="M97" s="29">
        <f t="shared" si="58"/>
        <v>0</v>
      </c>
      <c r="N97" s="29">
        <f t="shared" si="58"/>
        <v>0</v>
      </c>
      <c r="O97" s="29">
        <f t="shared" si="58"/>
        <v>0</v>
      </c>
      <c r="P97" s="29">
        <f t="shared" si="58"/>
        <v>0</v>
      </c>
      <c r="Q97" s="89"/>
    </row>
    <row r="98" spans="1:17" hidden="1">
      <c r="A98" s="18" t="s">
        <v>278</v>
      </c>
      <c r="B98" s="4"/>
      <c r="C98" s="4"/>
      <c r="D98" s="4"/>
      <c r="E98" s="4"/>
      <c r="F98" s="4"/>
      <c r="G98" s="4"/>
      <c r="H98" s="58"/>
      <c r="I98" s="5"/>
      <c r="J98" s="5"/>
      <c r="K98" s="5"/>
      <c r="L98" s="5"/>
      <c r="M98" s="5"/>
      <c r="N98" s="5"/>
      <c r="O98" s="5"/>
      <c r="P98" s="5"/>
      <c r="Q98" s="4"/>
    </row>
    <row r="99" spans="1:17" hidden="1">
      <c r="A99" s="4"/>
      <c r="B99" s="4" t="s">
        <v>312</v>
      </c>
      <c r="C99" s="4"/>
      <c r="D99" s="4"/>
      <c r="E99" s="4"/>
      <c r="F99" s="4"/>
      <c r="G99" s="4"/>
      <c r="H99" s="58"/>
      <c r="I99" s="9">
        <v>695.92</v>
      </c>
      <c r="J99" s="4">
        <v>61.87</v>
      </c>
      <c r="K99" s="9">
        <v>44.78</v>
      </c>
      <c r="L99" s="9">
        <f>+I99+J99-K99</f>
        <v>713.01</v>
      </c>
      <c r="M99" s="9">
        <v>57.14</v>
      </c>
      <c r="N99" s="9">
        <f>+M99</f>
        <v>57.14</v>
      </c>
      <c r="O99" s="9"/>
      <c r="P99" s="9"/>
      <c r="Q99" s="4"/>
    </row>
    <row r="100" spans="1:17" hidden="1">
      <c r="A100" s="89"/>
      <c r="B100" s="89"/>
      <c r="C100" s="89"/>
      <c r="D100" s="89"/>
      <c r="E100" s="89"/>
      <c r="F100" s="89"/>
      <c r="G100" s="89"/>
      <c r="H100" s="90"/>
      <c r="I100" s="29">
        <f>+I99</f>
        <v>695.92</v>
      </c>
      <c r="J100" s="29">
        <f t="shared" ref="J100:P100" si="59">+J99</f>
        <v>61.87</v>
      </c>
      <c r="K100" s="29">
        <f t="shared" si="59"/>
        <v>44.78</v>
      </c>
      <c r="L100" s="29">
        <f t="shared" si="59"/>
        <v>713.01</v>
      </c>
      <c r="M100" s="29">
        <f t="shared" si="59"/>
        <v>57.14</v>
      </c>
      <c r="N100" s="29">
        <f t="shared" si="59"/>
        <v>57.14</v>
      </c>
      <c r="O100" s="29">
        <f t="shared" si="59"/>
        <v>0</v>
      </c>
      <c r="P100" s="29">
        <f t="shared" si="59"/>
        <v>0</v>
      </c>
      <c r="Q100" s="89"/>
    </row>
    <row r="101" spans="1:17" hidden="1">
      <c r="A101" s="4"/>
      <c r="B101" s="4" t="s">
        <v>383</v>
      </c>
      <c r="C101" s="4"/>
      <c r="D101" s="4"/>
      <c r="E101" s="4"/>
      <c r="F101" s="4"/>
      <c r="G101" s="4"/>
      <c r="H101" s="58"/>
      <c r="I101" s="9"/>
      <c r="J101" s="4"/>
      <c r="K101" s="4"/>
      <c r="L101" s="9">
        <f>+I101+J101-K101</f>
        <v>0</v>
      </c>
      <c r="M101" s="4">
        <v>0.13</v>
      </c>
      <c r="N101" s="9">
        <f>+M101</f>
        <v>0.13</v>
      </c>
      <c r="O101" s="9"/>
      <c r="P101" s="9"/>
      <c r="Q101" s="4"/>
    </row>
    <row r="102" spans="1:17" hidden="1">
      <c r="A102" s="89"/>
      <c r="B102" s="89"/>
      <c r="C102" s="89"/>
      <c r="D102" s="89"/>
      <c r="E102" s="89"/>
      <c r="F102" s="89"/>
      <c r="G102" s="89"/>
      <c r="H102" s="90"/>
      <c r="I102" s="29">
        <f>+I101</f>
        <v>0</v>
      </c>
      <c r="J102" s="29">
        <f t="shared" ref="J102:P102" si="60">+J101</f>
        <v>0</v>
      </c>
      <c r="K102" s="29">
        <f t="shared" si="60"/>
        <v>0</v>
      </c>
      <c r="L102" s="29">
        <f t="shared" si="60"/>
        <v>0</v>
      </c>
      <c r="M102" s="29">
        <f t="shared" si="60"/>
        <v>0.13</v>
      </c>
      <c r="N102" s="29">
        <f t="shared" si="60"/>
        <v>0.13</v>
      </c>
      <c r="O102" s="29">
        <f t="shared" si="60"/>
        <v>0</v>
      </c>
      <c r="P102" s="29">
        <f t="shared" si="60"/>
        <v>0</v>
      </c>
      <c r="Q102" s="89"/>
    </row>
    <row r="103" spans="1:17" hidden="1">
      <c r="A103" s="89"/>
      <c r="B103" s="89"/>
      <c r="C103" s="89"/>
      <c r="D103" s="89"/>
      <c r="E103" s="89"/>
      <c r="F103" s="89"/>
      <c r="G103" s="89"/>
      <c r="H103" s="90"/>
      <c r="I103" s="29">
        <f>+I102+I100+I97+I94</f>
        <v>695.92</v>
      </c>
      <c r="J103" s="29">
        <f t="shared" ref="J103:P103" si="61">+J102+J100+J97+J94</f>
        <v>61.87</v>
      </c>
      <c r="K103" s="29">
        <f t="shared" si="61"/>
        <v>44.78</v>
      </c>
      <c r="L103" s="29">
        <f t="shared" si="61"/>
        <v>713.01</v>
      </c>
      <c r="M103" s="29">
        <f t="shared" si="61"/>
        <v>57.27</v>
      </c>
      <c r="N103" s="29">
        <f t="shared" si="61"/>
        <v>57.27</v>
      </c>
      <c r="O103" s="29">
        <f t="shared" si="61"/>
        <v>0</v>
      </c>
      <c r="P103" s="29">
        <f t="shared" si="61"/>
        <v>0</v>
      </c>
      <c r="Q103" s="89"/>
    </row>
    <row r="104" spans="1:17" hidden="1">
      <c r="A104" s="28"/>
      <c r="B104" s="28"/>
      <c r="C104" s="28"/>
      <c r="D104" s="28"/>
      <c r="E104" s="28"/>
      <c r="F104" s="28"/>
      <c r="G104" s="28"/>
      <c r="H104" s="91"/>
      <c r="I104" s="29">
        <f>+I103+I90</f>
        <v>2411.1400000000003</v>
      </c>
      <c r="J104" s="29">
        <f t="shared" ref="J104:P104" si="62">+J103+J90</f>
        <v>855.69</v>
      </c>
      <c r="K104" s="29">
        <f t="shared" si="62"/>
        <v>267.09000000000003</v>
      </c>
      <c r="L104" s="29">
        <f t="shared" si="62"/>
        <v>2999.7400000000007</v>
      </c>
      <c r="M104" s="29">
        <f t="shared" si="62"/>
        <v>243.69000000000003</v>
      </c>
      <c r="N104" s="29">
        <f t="shared" si="62"/>
        <v>243.69000000000003</v>
      </c>
      <c r="O104" s="29">
        <f t="shared" si="62"/>
        <v>0</v>
      </c>
      <c r="P104" s="29">
        <f t="shared" si="62"/>
        <v>0</v>
      </c>
      <c r="Q104" s="28"/>
    </row>
    <row r="105" spans="1:17" hidden="1">
      <c r="A105" s="287" t="s">
        <v>272</v>
      </c>
      <c r="B105" s="287"/>
      <c r="C105" s="306" t="s">
        <v>273</v>
      </c>
      <c r="D105" s="306"/>
      <c r="E105" s="306"/>
      <c r="F105" s="306"/>
      <c r="G105" s="306"/>
      <c r="H105" s="306"/>
      <c r="I105" s="306"/>
      <c r="J105" s="306"/>
      <c r="K105" s="306"/>
      <c r="L105" s="306"/>
      <c r="M105" s="306"/>
      <c r="N105" s="306"/>
      <c r="O105" s="306"/>
      <c r="P105" s="306"/>
      <c r="Q105" s="306"/>
    </row>
    <row r="106" spans="1:17" ht="36" hidden="1" customHeight="1">
      <c r="A106" s="304" t="s">
        <v>387</v>
      </c>
      <c r="B106" s="304"/>
      <c r="C106" s="138"/>
      <c r="D106" s="198"/>
      <c r="E106" s="198"/>
      <c r="F106" s="198"/>
      <c r="G106" s="198"/>
      <c r="H106" s="199"/>
      <c r="I106" s="198"/>
      <c r="J106" s="198"/>
      <c r="K106" s="198"/>
      <c r="L106" s="198"/>
      <c r="M106" s="198"/>
      <c r="N106" s="305" t="s">
        <v>467</v>
      </c>
      <c r="O106" s="305"/>
      <c r="P106" s="305"/>
      <c r="Q106" s="198"/>
    </row>
    <row r="107" spans="1:17" ht="56.25" hidden="1">
      <c r="A107" s="111" t="s">
        <v>248</v>
      </c>
      <c r="B107" s="111" t="s">
        <v>302</v>
      </c>
      <c r="C107" s="111" t="s">
        <v>274</v>
      </c>
      <c r="D107" s="111" t="s">
        <v>251</v>
      </c>
      <c r="E107" s="111" t="s">
        <v>275</v>
      </c>
      <c r="F107" s="111" t="s">
        <v>257</v>
      </c>
      <c r="G107" s="111" t="s">
        <v>301</v>
      </c>
      <c r="H107" s="112" t="s">
        <v>258</v>
      </c>
      <c r="I107" s="111" t="s">
        <v>259</v>
      </c>
      <c r="J107" s="111" t="s">
        <v>260</v>
      </c>
      <c r="K107" s="111" t="s">
        <v>261</v>
      </c>
      <c r="L107" s="111" t="s">
        <v>262</v>
      </c>
      <c r="M107" s="111" t="s">
        <v>263</v>
      </c>
      <c r="N107" s="111" t="s">
        <v>264</v>
      </c>
      <c r="O107" s="111" t="s">
        <v>265</v>
      </c>
      <c r="P107" s="111" t="s">
        <v>266</v>
      </c>
      <c r="Q107" s="111" t="s">
        <v>101</v>
      </c>
    </row>
    <row r="108" spans="1:17" ht="15.75" hidden="1">
      <c r="A108" s="92" t="s">
        <v>283</v>
      </c>
      <c r="B108" s="4"/>
      <c r="C108" s="4"/>
      <c r="D108" s="4"/>
      <c r="E108" s="4"/>
      <c r="F108" s="4"/>
      <c r="G108" s="4"/>
      <c r="H108" s="58"/>
      <c r="I108" s="5"/>
      <c r="J108" s="5"/>
      <c r="K108" s="5"/>
      <c r="L108" s="5"/>
      <c r="M108" s="5"/>
      <c r="N108" s="5"/>
      <c r="O108" s="5"/>
      <c r="P108" s="5"/>
      <c r="Q108" s="4"/>
    </row>
    <row r="109" spans="1:17" hidden="1">
      <c r="A109" s="18" t="s">
        <v>276</v>
      </c>
      <c r="B109" s="4"/>
      <c r="C109" s="4"/>
      <c r="D109" s="4"/>
      <c r="E109" s="4"/>
      <c r="F109" s="4"/>
      <c r="G109" s="4"/>
      <c r="H109" s="58"/>
      <c r="I109" s="5"/>
      <c r="J109" s="5"/>
      <c r="K109" s="5"/>
      <c r="L109" s="5"/>
      <c r="M109" s="5"/>
      <c r="N109" s="5"/>
      <c r="O109" s="5"/>
      <c r="P109" s="5"/>
      <c r="Q109" s="4"/>
    </row>
    <row r="110" spans="1:17" hidden="1">
      <c r="A110" s="4"/>
      <c r="B110" s="4"/>
      <c r="C110" s="4"/>
      <c r="D110" s="4"/>
      <c r="E110" s="4"/>
      <c r="F110" s="4"/>
      <c r="G110" s="4"/>
      <c r="H110" s="58"/>
      <c r="I110" s="9">
        <f>+L58</f>
        <v>0</v>
      </c>
      <c r="J110" s="4"/>
      <c r="K110" s="4"/>
      <c r="L110" s="9">
        <f>+I110+J110-K110</f>
        <v>0</v>
      </c>
      <c r="M110" s="4"/>
      <c r="N110" s="9">
        <f>+M110</f>
        <v>0</v>
      </c>
      <c r="O110" s="9"/>
      <c r="P110" s="9"/>
      <c r="Q110" s="4"/>
    </row>
    <row r="111" spans="1:17" hidden="1">
      <c r="A111" s="89"/>
      <c r="B111" s="89"/>
      <c r="C111" s="89"/>
      <c r="D111" s="89"/>
      <c r="E111" s="89"/>
      <c r="F111" s="89"/>
      <c r="G111" s="89"/>
      <c r="H111" s="90"/>
      <c r="I111" s="29">
        <f>+I110</f>
        <v>0</v>
      </c>
      <c r="J111" s="29">
        <f t="shared" ref="J111:P111" si="63">+J110</f>
        <v>0</v>
      </c>
      <c r="K111" s="29">
        <f t="shared" si="63"/>
        <v>0</v>
      </c>
      <c r="L111" s="29">
        <f t="shared" si="63"/>
        <v>0</v>
      </c>
      <c r="M111" s="29">
        <f t="shared" si="63"/>
        <v>0</v>
      </c>
      <c r="N111" s="29">
        <f t="shared" si="63"/>
        <v>0</v>
      </c>
      <c r="O111" s="29">
        <f t="shared" si="63"/>
        <v>0</v>
      </c>
      <c r="P111" s="29">
        <f t="shared" si="63"/>
        <v>0</v>
      </c>
      <c r="Q111" s="89"/>
    </row>
    <row r="112" spans="1:17" hidden="1">
      <c r="A112" s="18" t="s">
        <v>277</v>
      </c>
      <c r="B112" s="4"/>
      <c r="C112" s="4"/>
      <c r="D112" s="4"/>
      <c r="E112" s="4"/>
      <c r="F112" s="4"/>
      <c r="G112" s="4"/>
      <c r="H112" s="58"/>
      <c r="I112" s="5"/>
      <c r="J112" s="5"/>
      <c r="K112" s="5"/>
      <c r="L112" s="5"/>
      <c r="M112" s="5"/>
      <c r="N112" s="5"/>
      <c r="O112" s="5"/>
      <c r="P112" s="5"/>
      <c r="Q112" s="4"/>
    </row>
    <row r="113" spans="1:17" hidden="1">
      <c r="A113" s="4"/>
      <c r="B113" s="4"/>
      <c r="C113" s="4"/>
      <c r="D113" s="4"/>
      <c r="E113" s="4"/>
      <c r="F113" s="4"/>
      <c r="G113" s="4"/>
      <c r="H113" s="58"/>
      <c r="I113" s="9">
        <f>+L61</f>
        <v>0</v>
      </c>
      <c r="J113" s="4"/>
      <c r="K113" s="4"/>
      <c r="L113" s="9">
        <f>+I113+J113-K113</f>
        <v>0</v>
      </c>
      <c r="M113" s="4"/>
      <c r="N113" s="9">
        <f>+M113</f>
        <v>0</v>
      </c>
      <c r="O113" s="9"/>
      <c r="P113" s="9"/>
      <c r="Q113" s="4"/>
    </row>
    <row r="114" spans="1:17" hidden="1">
      <c r="A114" s="89"/>
      <c r="B114" s="89"/>
      <c r="C114" s="89"/>
      <c r="D114" s="89"/>
      <c r="E114" s="89"/>
      <c r="F114" s="89"/>
      <c r="G114" s="89"/>
      <c r="H114" s="90"/>
      <c r="I114" s="29">
        <f>+I113</f>
        <v>0</v>
      </c>
      <c r="J114" s="29">
        <f t="shared" ref="J114:P114" si="64">+J113</f>
        <v>0</v>
      </c>
      <c r="K114" s="29">
        <f t="shared" si="64"/>
        <v>0</v>
      </c>
      <c r="L114" s="29">
        <f t="shared" si="64"/>
        <v>0</v>
      </c>
      <c r="M114" s="29">
        <f t="shared" si="64"/>
        <v>0</v>
      </c>
      <c r="N114" s="29">
        <f t="shared" si="64"/>
        <v>0</v>
      </c>
      <c r="O114" s="29">
        <f t="shared" si="64"/>
        <v>0</v>
      </c>
      <c r="P114" s="29">
        <f t="shared" si="64"/>
        <v>0</v>
      </c>
      <c r="Q114" s="89"/>
    </row>
    <row r="115" spans="1:17" hidden="1">
      <c r="A115" s="18" t="s">
        <v>278</v>
      </c>
      <c r="B115" s="4"/>
      <c r="C115" s="4"/>
      <c r="D115" s="4"/>
      <c r="E115" s="4"/>
      <c r="F115" s="4"/>
      <c r="G115" s="4"/>
      <c r="H115" s="58"/>
      <c r="I115" s="5"/>
      <c r="J115" s="5"/>
      <c r="K115" s="5"/>
      <c r="L115" s="5"/>
      <c r="M115" s="5"/>
      <c r="N115" s="5"/>
      <c r="O115" s="5"/>
      <c r="P115" s="5"/>
      <c r="Q115" s="4"/>
    </row>
    <row r="116" spans="1:17" hidden="1">
      <c r="A116" s="4"/>
      <c r="B116" s="4"/>
      <c r="C116" s="4"/>
      <c r="D116" s="4"/>
      <c r="E116" s="4"/>
      <c r="F116" s="4"/>
      <c r="G116" s="4"/>
      <c r="H116" s="58"/>
      <c r="I116" s="9">
        <f>+L64</f>
        <v>0</v>
      </c>
      <c r="J116" s="4"/>
      <c r="K116" s="4"/>
      <c r="L116" s="9">
        <f>+I116+J116-K116</f>
        <v>0</v>
      </c>
      <c r="M116" s="4"/>
      <c r="N116" s="9">
        <f>+M116</f>
        <v>0</v>
      </c>
      <c r="O116" s="9"/>
      <c r="P116" s="9"/>
      <c r="Q116" s="4"/>
    </row>
    <row r="117" spans="1:17" hidden="1">
      <c r="A117" s="89"/>
      <c r="B117" s="89"/>
      <c r="C117" s="89"/>
      <c r="D117" s="89"/>
      <c r="E117" s="89"/>
      <c r="F117" s="89"/>
      <c r="G117" s="89"/>
      <c r="H117" s="90"/>
      <c r="I117" s="29">
        <f>+I116</f>
        <v>0</v>
      </c>
      <c r="J117" s="29">
        <f t="shared" ref="J117:P117" si="65">+J116</f>
        <v>0</v>
      </c>
      <c r="K117" s="29">
        <f t="shared" si="65"/>
        <v>0</v>
      </c>
      <c r="L117" s="29">
        <f t="shared" si="65"/>
        <v>0</v>
      </c>
      <c r="M117" s="29">
        <f t="shared" si="65"/>
        <v>0</v>
      </c>
      <c r="N117" s="29">
        <f t="shared" si="65"/>
        <v>0</v>
      </c>
      <c r="O117" s="29">
        <f t="shared" si="65"/>
        <v>0</v>
      </c>
      <c r="P117" s="29">
        <f t="shared" si="65"/>
        <v>0</v>
      </c>
      <c r="Q117" s="89"/>
    </row>
    <row r="118" spans="1:17" hidden="1">
      <c r="A118" s="18" t="s">
        <v>279</v>
      </c>
      <c r="B118" s="4"/>
      <c r="C118" s="4"/>
      <c r="D118" s="4"/>
      <c r="E118" s="4"/>
      <c r="F118" s="4"/>
      <c r="G118" s="4"/>
      <c r="H118" s="58"/>
      <c r="I118" s="4"/>
      <c r="J118" s="4"/>
      <c r="K118" s="4"/>
      <c r="L118" s="4"/>
      <c r="M118" s="4"/>
      <c r="N118" s="4"/>
      <c r="O118" s="4"/>
      <c r="P118" s="4"/>
      <c r="Q118" s="4"/>
    </row>
    <row r="119" spans="1:17" hidden="1">
      <c r="A119" s="4"/>
      <c r="B119" s="4" t="s">
        <v>280</v>
      </c>
      <c r="C119" s="4"/>
      <c r="D119" s="4"/>
      <c r="E119" s="4"/>
      <c r="F119" s="4"/>
      <c r="G119" s="4"/>
      <c r="H119" s="58"/>
      <c r="I119" s="9">
        <f t="shared" ref="I119:I134" si="66">+L67</f>
        <v>959.03</v>
      </c>
      <c r="J119" s="9">
        <v>969.16</v>
      </c>
      <c r="K119" s="4">
        <v>28.11</v>
      </c>
      <c r="L119" s="9">
        <f t="shared" ref="L119:L123" si="67">+I119+J119-K119</f>
        <v>1900.0800000000002</v>
      </c>
      <c r="M119" s="9">
        <v>134.43</v>
      </c>
      <c r="N119" s="9">
        <f t="shared" ref="N119:N140" si="68">+M119</f>
        <v>134.43</v>
      </c>
      <c r="O119" s="9"/>
      <c r="P119" s="9"/>
      <c r="Q119" s="4"/>
    </row>
    <row r="120" spans="1:17" hidden="1">
      <c r="A120" s="4"/>
      <c r="B120" s="4" t="s">
        <v>281</v>
      </c>
      <c r="C120" s="4"/>
      <c r="D120" s="4"/>
      <c r="E120" s="4"/>
      <c r="F120" s="4"/>
      <c r="G120" s="4"/>
      <c r="H120" s="58"/>
      <c r="I120" s="9">
        <f t="shared" si="66"/>
        <v>907.28000000000009</v>
      </c>
      <c r="J120" s="9">
        <v>59.15</v>
      </c>
      <c r="K120" s="4">
        <v>135.09</v>
      </c>
      <c r="L120" s="9">
        <f t="shared" si="67"/>
        <v>831.34</v>
      </c>
      <c r="M120" s="4">
        <v>102.4</v>
      </c>
      <c r="N120" s="9">
        <f t="shared" si="68"/>
        <v>102.4</v>
      </c>
      <c r="O120" s="9"/>
      <c r="P120" s="9"/>
      <c r="Q120" s="4"/>
    </row>
    <row r="121" spans="1:17" hidden="1">
      <c r="A121" s="4"/>
      <c r="B121" s="4" t="s">
        <v>285</v>
      </c>
      <c r="C121" s="4"/>
      <c r="D121" s="4"/>
      <c r="E121" s="4"/>
      <c r="F121" s="4"/>
      <c r="G121" s="4"/>
      <c r="H121" s="58"/>
      <c r="I121" s="9">
        <f t="shared" si="66"/>
        <v>2.68</v>
      </c>
      <c r="J121" s="9">
        <v>0.46</v>
      </c>
      <c r="K121" s="4">
        <v>1.1599999999999999</v>
      </c>
      <c r="L121" s="9">
        <f t="shared" si="67"/>
        <v>1.9800000000000002</v>
      </c>
      <c r="M121" s="4">
        <v>0.22</v>
      </c>
      <c r="N121" s="9">
        <f t="shared" si="68"/>
        <v>0.22</v>
      </c>
      <c r="O121" s="9"/>
      <c r="P121" s="9"/>
      <c r="Q121" s="4"/>
    </row>
    <row r="122" spans="1:17" hidden="1">
      <c r="A122" s="4"/>
      <c r="B122" s="4" t="s">
        <v>286</v>
      </c>
      <c r="C122" s="4"/>
      <c r="D122" s="4"/>
      <c r="E122" s="4"/>
      <c r="F122" s="4"/>
      <c r="G122" s="4"/>
      <c r="H122" s="58"/>
      <c r="I122" s="9">
        <f t="shared" si="66"/>
        <v>0</v>
      </c>
      <c r="J122" s="9"/>
      <c r="K122" s="9"/>
      <c r="L122" s="9">
        <f t="shared" si="67"/>
        <v>0</v>
      </c>
      <c r="M122" s="4"/>
      <c r="N122" s="9">
        <f t="shared" si="68"/>
        <v>0</v>
      </c>
      <c r="O122" s="9"/>
      <c r="P122" s="9"/>
      <c r="Q122" s="4"/>
    </row>
    <row r="123" spans="1:17" hidden="1">
      <c r="A123" s="4"/>
      <c r="B123" s="4" t="s">
        <v>287</v>
      </c>
      <c r="C123" s="4"/>
      <c r="D123" s="4"/>
      <c r="E123" s="4"/>
      <c r="F123" s="4"/>
      <c r="G123" s="4"/>
      <c r="H123" s="58"/>
      <c r="I123" s="9">
        <f t="shared" si="66"/>
        <v>26.840000000000003</v>
      </c>
      <c r="J123" s="9">
        <v>17.47</v>
      </c>
      <c r="K123" s="4">
        <v>4.37</v>
      </c>
      <c r="L123" s="9">
        <f t="shared" si="67"/>
        <v>39.940000000000005</v>
      </c>
      <c r="M123" s="4">
        <v>3.34</v>
      </c>
      <c r="N123" s="9">
        <f t="shared" si="68"/>
        <v>3.34</v>
      </c>
      <c r="O123" s="9"/>
      <c r="P123" s="9"/>
      <c r="Q123" s="4"/>
    </row>
    <row r="124" spans="1:17" hidden="1">
      <c r="A124" s="4"/>
      <c r="B124" s="4" t="s">
        <v>371</v>
      </c>
      <c r="C124" s="4"/>
      <c r="D124" s="4"/>
      <c r="E124" s="4"/>
      <c r="F124" s="4"/>
      <c r="G124" s="4"/>
      <c r="H124" s="58"/>
      <c r="I124" s="9">
        <f t="shared" si="66"/>
        <v>13.35</v>
      </c>
      <c r="J124" s="9"/>
      <c r="K124" s="4">
        <v>3.07</v>
      </c>
      <c r="L124" s="9">
        <f>+I124+J124-K124</f>
        <v>10.28</v>
      </c>
      <c r="M124" s="4">
        <v>1.54</v>
      </c>
      <c r="N124" s="9">
        <f t="shared" si="68"/>
        <v>1.54</v>
      </c>
      <c r="O124" s="9"/>
      <c r="P124" s="9"/>
      <c r="Q124" s="4"/>
    </row>
    <row r="125" spans="1:17" hidden="1">
      <c r="A125" s="4"/>
      <c r="B125" s="4" t="s">
        <v>288</v>
      </c>
      <c r="C125" s="4"/>
      <c r="D125" s="4"/>
      <c r="E125" s="4"/>
      <c r="F125" s="4"/>
      <c r="G125" s="4"/>
      <c r="H125" s="58"/>
      <c r="I125" s="9">
        <f t="shared" si="66"/>
        <v>0</v>
      </c>
      <c r="J125" s="9"/>
      <c r="K125" s="4"/>
      <c r="L125" s="9">
        <f t="shared" ref="L125:L138" si="69">+I125+J125-K125</f>
        <v>0</v>
      </c>
      <c r="M125" s="4"/>
      <c r="N125" s="9">
        <f t="shared" si="68"/>
        <v>0</v>
      </c>
      <c r="O125" s="9"/>
      <c r="P125" s="9"/>
      <c r="Q125" s="4"/>
    </row>
    <row r="126" spans="1:17" hidden="1">
      <c r="A126" s="4"/>
      <c r="B126" s="4" t="s">
        <v>289</v>
      </c>
      <c r="C126" s="4"/>
      <c r="D126" s="4"/>
      <c r="E126" s="4"/>
      <c r="F126" s="4"/>
      <c r="G126" s="4"/>
      <c r="H126" s="58"/>
      <c r="I126" s="9">
        <f t="shared" si="66"/>
        <v>10.860000000000001</v>
      </c>
      <c r="J126" s="9">
        <v>0.08</v>
      </c>
      <c r="K126" s="4">
        <v>1.43</v>
      </c>
      <c r="L126" s="9">
        <f t="shared" si="69"/>
        <v>9.5100000000000016</v>
      </c>
      <c r="M126" s="4">
        <v>1.08</v>
      </c>
      <c r="N126" s="9">
        <f t="shared" si="68"/>
        <v>1.08</v>
      </c>
      <c r="O126" s="9"/>
      <c r="P126" s="9"/>
      <c r="Q126" s="4"/>
    </row>
    <row r="127" spans="1:17" hidden="1">
      <c r="A127" s="4"/>
      <c r="B127" s="4" t="s">
        <v>290</v>
      </c>
      <c r="C127" s="4"/>
      <c r="D127" s="4"/>
      <c r="E127" s="4"/>
      <c r="F127" s="4"/>
      <c r="G127" s="4"/>
      <c r="H127" s="58"/>
      <c r="I127" s="9">
        <f t="shared" si="66"/>
        <v>25.39</v>
      </c>
      <c r="J127" s="9"/>
      <c r="K127" s="4">
        <v>5.13</v>
      </c>
      <c r="L127" s="9">
        <f t="shared" si="69"/>
        <v>20.260000000000002</v>
      </c>
      <c r="M127" s="4">
        <v>2.57</v>
      </c>
      <c r="N127" s="9">
        <f t="shared" si="68"/>
        <v>2.57</v>
      </c>
      <c r="O127" s="9"/>
      <c r="P127" s="9"/>
      <c r="Q127" s="4"/>
    </row>
    <row r="128" spans="1:17" hidden="1">
      <c r="A128" s="4"/>
      <c r="B128" s="4" t="s">
        <v>291</v>
      </c>
      <c r="C128" s="4"/>
      <c r="D128" s="4"/>
      <c r="E128" s="4"/>
      <c r="F128" s="4"/>
      <c r="G128" s="4"/>
      <c r="H128" s="58"/>
      <c r="I128" s="9">
        <f t="shared" si="66"/>
        <v>105.49000000000001</v>
      </c>
      <c r="J128" s="9"/>
      <c r="K128" s="4">
        <v>25.03</v>
      </c>
      <c r="L128" s="9">
        <f t="shared" si="69"/>
        <v>80.460000000000008</v>
      </c>
      <c r="M128" s="9">
        <v>10.41</v>
      </c>
      <c r="N128" s="9">
        <f t="shared" si="68"/>
        <v>10.41</v>
      </c>
      <c r="O128" s="9"/>
      <c r="P128" s="9"/>
      <c r="Q128" s="4"/>
    </row>
    <row r="129" spans="1:17" hidden="1">
      <c r="A129" s="4"/>
      <c r="B129" s="4" t="s">
        <v>292</v>
      </c>
      <c r="C129" s="4"/>
      <c r="D129" s="4"/>
      <c r="E129" s="4"/>
      <c r="F129" s="4"/>
      <c r="G129" s="4"/>
      <c r="H129" s="58"/>
      <c r="I129" s="9">
        <f t="shared" si="66"/>
        <v>1.0799999999999998</v>
      </c>
      <c r="J129" s="9"/>
      <c r="K129" s="4">
        <v>1.08</v>
      </c>
      <c r="L129" s="9">
        <f t="shared" si="69"/>
        <v>0</v>
      </c>
      <c r="M129" s="4">
        <v>0.05</v>
      </c>
      <c r="N129" s="9">
        <f t="shared" si="68"/>
        <v>0.05</v>
      </c>
      <c r="O129" s="9"/>
      <c r="P129" s="9"/>
      <c r="Q129" s="4"/>
    </row>
    <row r="130" spans="1:17" hidden="1">
      <c r="A130" s="4"/>
      <c r="B130" s="4" t="s">
        <v>293</v>
      </c>
      <c r="C130" s="4"/>
      <c r="D130" s="4"/>
      <c r="E130" s="4"/>
      <c r="F130" s="4"/>
      <c r="G130" s="4"/>
      <c r="H130" s="58"/>
      <c r="I130" s="9">
        <f t="shared" si="66"/>
        <v>23.46</v>
      </c>
      <c r="J130" s="9">
        <v>1.18</v>
      </c>
      <c r="K130" s="4">
        <v>6.66</v>
      </c>
      <c r="L130" s="9">
        <f t="shared" si="69"/>
        <v>17.98</v>
      </c>
      <c r="M130" s="4">
        <v>2.25</v>
      </c>
      <c r="N130" s="9">
        <f t="shared" si="68"/>
        <v>2.25</v>
      </c>
      <c r="O130" s="9"/>
      <c r="P130" s="9"/>
      <c r="Q130" s="4"/>
    </row>
    <row r="131" spans="1:17" hidden="1">
      <c r="A131" s="4"/>
      <c r="B131" s="4" t="s">
        <v>294</v>
      </c>
      <c r="C131" s="4"/>
      <c r="D131" s="4"/>
      <c r="E131" s="4"/>
      <c r="F131" s="4"/>
      <c r="G131" s="4"/>
      <c r="H131" s="58"/>
      <c r="I131" s="9">
        <f t="shared" si="66"/>
        <v>9.9599999999999991</v>
      </c>
      <c r="J131" s="9"/>
      <c r="K131" s="4">
        <v>1.96</v>
      </c>
      <c r="L131" s="9">
        <f t="shared" si="69"/>
        <v>7.9999999999999991</v>
      </c>
      <c r="M131" s="4">
        <v>1.01</v>
      </c>
      <c r="N131" s="9">
        <f t="shared" si="68"/>
        <v>1.01</v>
      </c>
      <c r="O131" s="9"/>
      <c r="P131" s="9"/>
      <c r="Q131" s="4"/>
    </row>
    <row r="132" spans="1:17" hidden="1">
      <c r="A132" s="4"/>
      <c r="B132" s="4" t="s">
        <v>295</v>
      </c>
      <c r="C132" s="4"/>
      <c r="D132" s="4"/>
      <c r="E132" s="4"/>
      <c r="F132" s="4"/>
      <c r="G132" s="4"/>
      <c r="H132" s="58"/>
      <c r="I132" s="9">
        <f t="shared" si="66"/>
        <v>12.55</v>
      </c>
      <c r="J132" s="9"/>
      <c r="K132" s="4">
        <v>2.89</v>
      </c>
      <c r="L132" s="9">
        <f t="shared" si="69"/>
        <v>9.66</v>
      </c>
      <c r="M132" s="4">
        <v>1.25</v>
      </c>
      <c r="N132" s="9">
        <f t="shared" si="68"/>
        <v>1.25</v>
      </c>
      <c r="O132" s="9"/>
      <c r="P132" s="9"/>
      <c r="Q132" s="4"/>
    </row>
    <row r="133" spans="1:17" hidden="1">
      <c r="A133" s="4"/>
      <c r="B133" s="4" t="s">
        <v>296</v>
      </c>
      <c r="C133" s="4"/>
      <c r="D133" s="4"/>
      <c r="E133" s="4"/>
      <c r="F133" s="4"/>
      <c r="G133" s="4"/>
      <c r="H133" s="58"/>
      <c r="I133" s="9">
        <f t="shared" si="66"/>
        <v>4.8</v>
      </c>
      <c r="J133" s="9"/>
      <c r="K133" s="4">
        <v>1.1100000000000001</v>
      </c>
      <c r="L133" s="9">
        <f t="shared" si="69"/>
        <v>3.6899999999999995</v>
      </c>
      <c r="M133" s="4">
        <v>0.48</v>
      </c>
      <c r="N133" s="9">
        <f t="shared" si="68"/>
        <v>0.48</v>
      </c>
      <c r="O133" s="9"/>
      <c r="P133" s="9"/>
      <c r="Q133" s="4"/>
    </row>
    <row r="134" spans="1:17" hidden="1">
      <c r="A134" s="4"/>
      <c r="B134" s="4" t="s">
        <v>297</v>
      </c>
      <c r="C134" s="4"/>
      <c r="D134" s="4"/>
      <c r="E134" s="4"/>
      <c r="F134" s="4"/>
      <c r="G134" s="4"/>
      <c r="H134" s="58"/>
      <c r="I134" s="9">
        <f t="shared" si="66"/>
        <v>4.79</v>
      </c>
      <c r="J134" s="9"/>
      <c r="K134" s="4">
        <v>0.96</v>
      </c>
      <c r="L134" s="9">
        <f t="shared" si="69"/>
        <v>3.83</v>
      </c>
      <c r="M134" s="4">
        <v>0.48</v>
      </c>
      <c r="N134" s="9">
        <f t="shared" si="68"/>
        <v>0.48</v>
      </c>
      <c r="O134" s="9"/>
      <c r="P134" s="9"/>
      <c r="Q134" s="4"/>
    </row>
    <row r="135" spans="1:17" hidden="1">
      <c r="A135" s="4"/>
      <c r="B135" s="200" t="s">
        <v>469</v>
      </c>
      <c r="C135" s="4"/>
      <c r="D135" s="4"/>
      <c r="E135" s="4"/>
      <c r="F135" s="4"/>
      <c r="G135" s="4"/>
      <c r="H135" s="58"/>
      <c r="I135" s="9">
        <f t="shared" ref="I135:I140" si="70">+L83</f>
        <v>0</v>
      </c>
      <c r="J135" s="9">
        <v>0.08</v>
      </c>
      <c r="K135" s="9">
        <v>0.08</v>
      </c>
      <c r="L135" s="9">
        <f t="shared" si="69"/>
        <v>0</v>
      </c>
      <c r="M135" s="9">
        <v>0</v>
      </c>
      <c r="N135" s="9">
        <f t="shared" si="68"/>
        <v>0</v>
      </c>
      <c r="O135" s="9"/>
      <c r="P135" s="9"/>
      <c r="Q135" s="4"/>
    </row>
    <row r="136" spans="1:17" hidden="1">
      <c r="A136" s="4"/>
      <c r="B136" s="4" t="s">
        <v>298</v>
      </c>
      <c r="C136" s="4"/>
      <c r="D136" s="4"/>
      <c r="E136" s="4"/>
      <c r="F136" s="4"/>
      <c r="G136" s="4"/>
      <c r="H136" s="58"/>
      <c r="I136" s="9">
        <f t="shared" si="70"/>
        <v>60.480000000000004</v>
      </c>
      <c r="J136" s="9"/>
      <c r="K136" s="4">
        <v>8.35</v>
      </c>
      <c r="L136" s="9">
        <f t="shared" si="69"/>
        <v>52.13</v>
      </c>
      <c r="M136" s="4">
        <v>6.29</v>
      </c>
      <c r="N136" s="9">
        <f t="shared" si="68"/>
        <v>6.29</v>
      </c>
      <c r="O136" s="9"/>
      <c r="P136" s="9"/>
      <c r="Q136" s="4"/>
    </row>
    <row r="137" spans="1:17" hidden="1">
      <c r="A137" s="4"/>
      <c r="B137" s="4" t="s">
        <v>299</v>
      </c>
      <c r="C137" s="4"/>
      <c r="D137" s="4"/>
      <c r="E137" s="4"/>
      <c r="F137" s="4"/>
      <c r="G137" s="4"/>
      <c r="H137" s="58"/>
      <c r="I137" s="9">
        <f t="shared" si="70"/>
        <v>79.5</v>
      </c>
      <c r="J137" s="9"/>
      <c r="K137" s="4">
        <v>2.08</v>
      </c>
      <c r="L137" s="9">
        <f t="shared" si="69"/>
        <v>77.42</v>
      </c>
      <c r="M137" s="4">
        <v>8.1300000000000008</v>
      </c>
      <c r="N137" s="9">
        <f t="shared" si="68"/>
        <v>8.1300000000000008</v>
      </c>
      <c r="O137" s="9"/>
      <c r="P137" s="9"/>
      <c r="Q137" s="4"/>
    </row>
    <row r="138" spans="1:17" hidden="1">
      <c r="A138" s="4"/>
      <c r="B138" s="4" t="s">
        <v>300</v>
      </c>
      <c r="C138" s="4"/>
      <c r="D138" s="4"/>
      <c r="E138" s="4"/>
      <c r="F138" s="4"/>
      <c r="G138" s="4"/>
      <c r="H138" s="58"/>
      <c r="I138" s="9">
        <f t="shared" si="70"/>
        <v>22.46</v>
      </c>
      <c r="J138" s="9">
        <v>0.1</v>
      </c>
      <c r="K138" s="4">
        <v>2.62</v>
      </c>
      <c r="L138" s="9">
        <f t="shared" si="69"/>
        <v>19.940000000000001</v>
      </c>
      <c r="M138" s="4">
        <v>2.39</v>
      </c>
      <c r="N138" s="9">
        <f t="shared" si="68"/>
        <v>2.39</v>
      </c>
      <c r="O138" s="9"/>
      <c r="P138" s="9"/>
      <c r="Q138" s="4"/>
    </row>
    <row r="139" spans="1:17" hidden="1">
      <c r="A139" s="4"/>
      <c r="B139" s="4" t="s">
        <v>372</v>
      </c>
      <c r="C139" s="4"/>
      <c r="D139" s="4"/>
      <c r="E139" s="4"/>
      <c r="F139" s="4"/>
      <c r="G139" s="4"/>
      <c r="H139" s="58"/>
      <c r="I139" s="9">
        <f t="shared" si="70"/>
        <v>5.1100000000000003</v>
      </c>
      <c r="J139" s="9">
        <v>3.3</v>
      </c>
      <c r="K139" s="4">
        <v>0.51</v>
      </c>
      <c r="L139" s="9">
        <f>+I139+J139-K139</f>
        <v>7.9</v>
      </c>
      <c r="M139" s="4">
        <v>0.57999999999999996</v>
      </c>
      <c r="N139" s="9">
        <f t="shared" si="68"/>
        <v>0.57999999999999996</v>
      </c>
      <c r="O139" s="9"/>
      <c r="P139" s="9"/>
      <c r="Q139" s="4"/>
    </row>
    <row r="140" spans="1:17" hidden="1">
      <c r="A140" s="4"/>
      <c r="B140" s="4" t="s">
        <v>410</v>
      </c>
      <c r="C140" s="4"/>
      <c r="D140" s="4"/>
      <c r="E140" s="4"/>
      <c r="F140" s="4"/>
      <c r="G140" s="4"/>
      <c r="H140" s="58"/>
      <c r="I140" s="9">
        <f t="shared" si="70"/>
        <v>11.62</v>
      </c>
      <c r="J140" s="9">
        <v>17.05</v>
      </c>
      <c r="K140" s="4">
        <v>0.24</v>
      </c>
      <c r="L140" s="9">
        <f>+I140+J140-K140</f>
        <v>28.430000000000003</v>
      </c>
      <c r="M140" s="4">
        <v>2.0499999999999998</v>
      </c>
      <c r="N140" s="9">
        <f t="shared" si="68"/>
        <v>2.0499999999999998</v>
      </c>
      <c r="O140" s="9"/>
      <c r="P140" s="9"/>
      <c r="Q140" s="4"/>
    </row>
    <row r="141" spans="1:17" hidden="1">
      <c r="A141" s="89"/>
      <c r="B141" s="89"/>
      <c r="C141" s="89"/>
      <c r="D141" s="89"/>
      <c r="E141" s="89"/>
      <c r="F141" s="89"/>
      <c r="G141" s="89"/>
      <c r="H141" s="90"/>
      <c r="I141" s="29">
        <f>SUM(I119:I140)</f>
        <v>2286.7300000000005</v>
      </c>
      <c r="J141" s="29">
        <f t="shared" ref="J141:P141" si="71">SUM(J119:J140)</f>
        <v>1068.0299999999997</v>
      </c>
      <c r="K141" s="29">
        <f t="shared" si="71"/>
        <v>231.93000000000004</v>
      </c>
      <c r="L141" s="29">
        <f t="shared" si="71"/>
        <v>3122.8300000000008</v>
      </c>
      <c r="M141" s="29">
        <f t="shared" si="71"/>
        <v>280.95000000000005</v>
      </c>
      <c r="N141" s="29">
        <f t="shared" si="71"/>
        <v>280.95000000000005</v>
      </c>
      <c r="O141" s="29">
        <f t="shared" si="71"/>
        <v>0</v>
      </c>
      <c r="P141" s="29">
        <f t="shared" si="71"/>
        <v>0</v>
      </c>
      <c r="Q141" s="89"/>
    </row>
    <row r="142" spans="1:17" hidden="1">
      <c r="A142" s="28"/>
      <c r="B142" s="28"/>
      <c r="C142" s="28"/>
      <c r="D142" s="28"/>
      <c r="E142" s="28"/>
      <c r="F142" s="28"/>
      <c r="G142" s="28"/>
      <c r="H142" s="91"/>
      <c r="I142" s="29">
        <f t="shared" ref="I142" si="72">+I111+I114+I117+I141</f>
        <v>2286.7300000000005</v>
      </c>
      <c r="J142" s="29">
        <f t="shared" ref="J142" si="73">+J111+J114+J117+J141</f>
        <v>1068.0299999999997</v>
      </c>
      <c r="K142" s="29">
        <f t="shared" ref="K142" si="74">+K111+K114+K117+K141</f>
        <v>231.93000000000004</v>
      </c>
      <c r="L142" s="29">
        <f t="shared" ref="L142" si="75">+L111+L114+L117+L141</f>
        <v>3122.8300000000008</v>
      </c>
      <c r="M142" s="29">
        <f t="shared" ref="M142" si="76">+M111+M114+M117+M141</f>
        <v>280.95000000000005</v>
      </c>
      <c r="N142" s="29">
        <f t="shared" ref="N142" si="77">+N111+N114+N117+N141</f>
        <v>280.95000000000005</v>
      </c>
      <c r="O142" s="29">
        <f t="shared" ref="O142" si="78">+O111+O114+O117+O141</f>
        <v>0</v>
      </c>
      <c r="P142" s="29">
        <f t="shared" ref="P142" si="79">+P111+P114+P117+P141</f>
        <v>0</v>
      </c>
      <c r="Q142" s="28"/>
    </row>
    <row r="143" spans="1:17" ht="15.75" hidden="1">
      <c r="A143" s="92" t="s">
        <v>282</v>
      </c>
      <c r="B143" s="4"/>
      <c r="C143" s="4"/>
      <c r="D143" s="4"/>
      <c r="E143" s="4"/>
      <c r="F143" s="4"/>
      <c r="G143" s="4"/>
      <c r="H143" s="58"/>
      <c r="I143" s="4"/>
      <c r="J143" s="4"/>
      <c r="K143" s="4"/>
      <c r="L143" s="4"/>
      <c r="M143" s="4"/>
      <c r="N143" s="4"/>
      <c r="O143" s="4"/>
      <c r="P143" s="4"/>
      <c r="Q143" s="4"/>
    </row>
    <row r="144" spans="1:17" hidden="1">
      <c r="A144" s="18" t="s">
        <v>276</v>
      </c>
      <c r="B144" s="4"/>
      <c r="C144" s="4"/>
      <c r="D144" s="4"/>
      <c r="E144" s="4"/>
      <c r="F144" s="4"/>
      <c r="G144" s="4"/>
      <c r="H144" s="58"/>
      <c r="I144" s="5"/>
      <c r="J144" s="5"/>
      <c r="K144" s="5"/>
      <c r="L144" s="5"/>
      <c r="M144" s="5"/>
      <c r="N144" s="5"/>
      <c r="O144" s="5"/>
      <c r="P144" s="5"/>
      <c r="Q144" s="4"/>
    </row>
    <row r="145" spans="1:17" hidden="1">
      <c r="A145" s="18"/>
      <c r="B145" s="4"/>
      <c r="C145" s="4"/>
      <c r="D145" s="4"/>
      <c r="E145" s="4"/>
      <c r="F145" s="4"/>
      <c r="G145" s="4"/>
      <c r="H145" s="58"/>
      <c r="I145" s="9">
        <f t="shared" ref="I145" si="80">+L93</f>
        <v>0</v>
      </c>
      <c r="J145" s="5"/>
      <c r="K145" s="36"/>
      <c r="L145" s="9">
        <f>+I145+J145-K145</f>
        <v>0</v>
      </c>
      <c r="M145" s="4"/>
      <c r="N145" s="9">
        <f>+M145</f>
        <v>0</v>
      </c>
      <c r="O145" s="9"/>
      <c r="P145" s="9"/>
      <c r="Q145" s="4"/>
    </row>
    <row r="146" spans="1:17" hidden="1">
      <c r="A146" s="89"/>
      <c r="B146" s="89"/>
      <c r="C146" s="89"/>
      <c r="D146" s="89"/>
      <c r="E146" s="89"/>
      <c r="F146" s="89"/>
      <c r="G146" s="89"/>
      <c r="H146" s="90"/>
      <c r="I146" s="29">
        <f t="shared" ref="I146" si="81">SUM(I145:I145)</f>
        <v>0</v>
      </c>
      <c r="J146" s="29">
        <f t="shared" ref="J146" si="82">SUM(J145:J145)</f>
        <v>0</v>
      </c>
      <c r="K146" s="29">
        <f t="shared" ref="K146" si="83">SUM(K145:K145)</f>
        <v>0</v>
      </c>
      <c r="L146" s="29">
        <f t="shared" ref="L146" si="84">SUM(L145:L145)</f>
        <v>0</v>
      </c>
      <c r="M146" s="29">
        <f t="shared" ref="M146" si="85">SUM(M145:M145)</f>
        <v>0</v>
      </c>
      <c r="N146" s="29">
        <f t="shared" ref="N146" si="86">SUM(N145:N145)</f>
        <v>0</v>
      </c>
      <c r="O146" s="29">
        <f t="shared" ref="O146" si="87">SUM(O145:O145)</f>
        <v>0</v>
      </c>
      <c r="P146" s="29">
        <f t="shared" ref="P146" si="88">SUM(P145:P145)</f>
        <v>0</v>
      </c>
      <c r="Q146" s="89"/>
    </row>
    <row r="147" spans="1:17" hidden="1">
      <c r="A147" s="18" t="s">
        <v>277</v>
      </c>
      <c r="B147" s="4"/>
      <c r="C147" s="4"/>
      <c r="D147" s="4"/>
      <c r="E147" s="4"/>
      <c r="F147" s="4"/>
      <c r="G147" s="4"/>
      <c r="H147" s="58"/>
      <c r="I147" s="5"/>
      <c r="J147" s="5"/>
      <c r="K147" s="5"/>
      <c r="L147" s="5"/>
      <c r="M147" s="5"/>
      <c r="N147" s="5"/>
      <c r="O147" s="5"/>
      <c r="P147" s="5"/>
      <c r="Q147" s="4"/>
    </row>
    <row r="148" spans="1:17" hidden="1">
      <c r="A148" s="4"/>
      <c r="B148" s="4"/>
      <c r="C148" s="4"/>
      <c r="D148" s="4"/>
      <c r="E148" s="4"/>
      <c r="F148" s="4"/>
      <c r="G148" s="4"/>
      <c r="H148" s="58"/>
      <c r="I148" s="9">
        <f t="shared" ref="I148" si="89">+L96</f>
        <v>0</v>
      </c>
      <c r="J148" s="4"/>
      <c r="K148" s="4"/>
      <c r="L148" s="9">
        <f>+I148+J148-K148</f>
        <v>0</v>
      </c>
      <c r="M148" s="4"/>
      <c r="N148" s="9">
        <f>+M148</f>
        <v>0</v>
      </c>
      <c r="O148" s="9"/>
      <c r="P148" s="9"/>
      <c r="Q148" s="4"/>
    </row>
    <row r="149" spans="1:17" hidden="1">
      <c r="A149" s="89"/>
      <c r="B149" s="89"/>
      <c r="C149" s="89"/>
      <c r="D149" s="89"/>
      <c r="E149" s="89"/>
      <c r="F149" s="89"/>
      <c r="G149" s="89"/>
      <c r="H149" s="90"/>
      <c r="I149" s="29">
        <f>+I148</f>
        <v>0</v>
      </c>
      <c r="J149" s="29">
        <f t="shared" ref="J149:P149" si="90">+J148</f>
        <v>0</v>
      </c>
      <c r="K149" s="29">
        <f t="shared" si="90"/>
        <v>0</v>
      </c>
      <c r="L149" s="29">
        <f t="shared" si="90"/>
        <v>0</v>
      </c>
      <c r="M149" s="29">
        <f t="shared" si="90"/>
        <v>0</v>
      </c>
      <c r="N149" s="29">
        <f t="shared" si="90"/>
        <v>0</v>
      </c>
      <c r="O149" s="29">
        <f t="shared" si="90"/>
        <v>0</v>
      </c>
      <c r="P149" s="29">
        <f t="shared" si="90"/>
        <v>0</v>
      </c>
      <c r="Q149" s="89"/>
    </row>
    <row r="150" spans="1:17" hidden="1">
      <c r="A150" s="18" t="s">
        <v>278</v>
      </c>
      <c r="B150" s="4"/>
      <c r="C150" s="4"/>
      <c r="D150" s="4"/>
      <c r="E150" s="4"/>
      <c r="F150" s="4"/>
      <c r="G150" s="4"/>
      <c r="H150" s="58"/>
      <c r="I150" s="5"/>
      <c r="J150" s="5"/>
      <c r="K150" s="5"/>
      <c r="L150" s="5"/>
      <c r="M150" s="5"/>
      <c r="N150" s="5"/>
      <c r="O150" s="5"/>
      <c r="P150" s="5"/>
      <c r="Q150" s="4"/>
    </row>
    <row r="151" spans="1:17" hidden="1">
      <c r="A151" s="4"/>
      <c r="B151" s="4" t="s">
        <v>312</v>
      </c>
      <c r="C151" s="4"/>
      <c r="D151" s="4"/>
      <c r="E151" s="4"/>
      <c r="F151" s="4"/>
      <c r="G151" s="4"/>
      <c r="H151" s="58"/>
      <c r="I151" s="9">
        <f t="shared" ref="I151" si="91">+L99</f>
        <v>713.01</v>
      </c>
      <c r="J151" s="4">
        <v>47.56</v>
      </c>
      <c r="K151" s="9">
        <v>73.010000000000005</v>
      </c>
      <c r="L151" s="9">
        <f>+I151+J151-K151</f>
        <v>687.56</v>
      </c>
      <c r="M151" s="9">
        <v>70.89</v>
      </c>
      <c r="N151" s="9">
        <f>+M151</f>
        <v>70.89</v>
      </c>
      <c r="O151" s="9"/>
      <c r="P151" s="9"/>
      <c r="Q151" s="4"/>
    </row>
    <row r="152" spans="1:17" hidden="1">
      <c r="A152" s="89"/>
      <c r="B152" s="89"/>
      <c r="C152" s="89"/>
      <c r="D152" s="89"/>
      <c r="E152" s="89"/>
      <c r="F152" s="89"/>
      <c r="G152" s="89"/>
      <c r="H152" s="90"/>
      <c r="I152" s="29">
        <f>+I151</f>
        <v>713.01</v>
      </c>
      <c r="J152" s="29">
        <f t="shared" ref="J152:P152" si="92">+J151</f>
        <v>47.56</v>
      </c>
      <c r="K152" s="29">
        <f t="shared" si="92"/>
        <v>73.010000000000005</v>
      </c>
      <c r="L152" s="29">
        <f t="shared" si="92"/>
        <v>687.56</v>
      </c>
      <c r="M152" s="29">
        <f t="shared" si="92"/>
        <v>70.89</v>
      </c>
      <c r="N152" s="29">
        <f t="shared" si="92"/>
        <v>70.89</v>
      </c>
      <c r="O152" s="29">
        <f t="shared" si="92"/>
        <v>0</v>
      </c>
      <c r="P152" s="29">
        <f t="shared" si="92"/>
        <v>0</v>
      </c>
      <c r="Q152" s="89"/>
    </row>
    <row r="153" spans="1:17" hidden="1">
      <c r="A153" s="4"/>
      <c r="B153" s="4" t="s">
        <v>383</v>
      </c>
      <c r="C153" s="4"/>
      <c r="D153" s="4"/>
      <c r="E153" s="4"/>
      <c r="F153" s="4"/>
      <c r="G153" s="4"/>
      <c r="H153" s="58"/>
      <c r="I153" s="9">
        <f t="shared" ref="I153" si="93">+L101</f>
        <v>0</v>
      </c>
      <c r="J153" s="4"/>
      <c r="K153" s="4"/>
      <c r="L153" s="9">
        <f>+I153+J153-K153</f>
        <v>0</v>
      </c>
      <c r="M153" s="4">
        <v>0.17</v>
      </c>
      <c r="N153" s="9">
        <f>+M153</f>
        <v>0.17</v>
      </c>
      <c r="O153" s="9"/>
      <c r="P153" s="9"/>
      <c r="Q153" s="4"/>
    </row>
    <row r="154" spans="1:17" hidden="1">
      <c r="A154" s="89"/>
      <c r="B154" s="89"/>
      <c r="C154" s="89"/>
      <c r="D154" s="89"/>
      <c r="E154" s="89"/>
      <c r="F154" s="89"/>
      <c r="G154" s="89"/>
      <c r="H154" s="90"/>
      <c r="I154" s="29">
        <f>+I153</f>
        <v>0</v>
      </c>
      <c r="J154" s="29">
        <f t="shared" ref="J154" si="94">+J153</f>
        <v>0</v>
      </c>
      <c r="K154" s="29">
        <f t="shared" ref="K154" si="95">+K153</f>
        <v>0</v>
      </c>
      <c r="L154" s="29">
        <f t="shared" ref="L154" si="96">+L153</f>
        <v>0</v>
      </c>
      <c r="M154" s="29">
        <f t="shared" ref="M154" si="97">+M153</f>
        <v>0.17</v>
      </c>
      <c r="N154" s="29">
        <f t="shared" ref="N154" si="98">+N153</f>
        <v>0.17</v>
      </c>
      <c r="O154" s="29">
        <f t="shared" ref="O154" si="99">+O153</f>
        <v>0</v>
      </c>
      <c r="P154" s="29">
        <f t="shared" ref="P154" si="100">+P153</f>
        <v>0</v>
      </c>
      <c r="Q154" s="89"/>
    </row>
    <row r="155" spans="1:17" hidden="1">
      <c r="A155" s="89"/>
      <c r="B155" s="89"/>
      <c r="C155" s="89"/>
      <c r="D155" s="89"/>
      <c r="E155" s="89"/>
      <c r="F155" s="89"/>
      <c r="G155" s="89"/>
      <c r="H155" s="90"/>
      <c r="I155" s="29">
        <f>+I154+I152+I149+I146</f>
        <v>713.01</v>
      </c>
      <c r="J155" s="29">
        <f t="shared" ref="J155" si="101">+J154+J152+J149+J146</f>
        <v>47.56</v>
      </c>
      <c r="K155" s="29">
        <f t="shared" ref="K155" si="102">+K154+K152+K149+K146</f>
        <v>73.010000000000005</v>
      </c>
      <c r="L155" s="29">
        <f t="shared" ref="L155" si="103">+L154+L152+L149+L146</f>
        <v>687.56</v>
      </c>
      <c r="M155" s="29">
        <f t="shared" ref="M155" si="104">+M154+M152+M149+M146</f>
        <v>71.06</v>
      </c>
      <c r="N155" s="29">
        <f t="shared" ref="N155" si="105">+N154+N152+N149+N146</f>
        <v>71.06</v>
      </c>
      <c r="O155" s="29">
        <f t="shared" ref="O155" si="106">+O154+O152+O149+O146</f>
        <v>0</v>
      </c>
      <c r="P155" s="29">
        <f t="shared" ref="P155" si="107">+P154+P152+P149+P146</f>
        <v>0</v>
      </c>
      <c r="Q155" s="89"/>
    </row>
    <row r="156" spans="1:17" hidden="1">
      <c r="A156" s="28"/>
      <c r="B156" s="28"/>
      <c r="C156" s="28"/>
      <c r="D156" s="28"/>
      <c r="E156" s="28"/>
      <c r="F156" s="28"/>
      <c r="G156" s="28"/>
      <c r="H156" s="91"/>
      <c r="I156" s="29">
        <f>+I155+I142</f>
        <v>2999.7400000000007</v>
      </c>
      <c r="J156" s="29">
        <f t="shared" ref="J156" si="108">+J155+J142</f>
        <v>1115.5899999999997</v>
      </c>
      <c r="K156" s="29">
        <f t="shared" ref="K156" si="109">+K155+K142</f>
        <v>304.94000000000005</v>
      </c>
      <c r="L156" s="29">
        <f t="shared" ref="L156" si="110">+L155+L142</f>
        <v>3810.3900000000008</v>
      </c>
      <c r="M156" s="29">
        <f t="shared" ref="M156" si="111">+M155+M142</f>
        <v>352.01000000000005</v>
      </c>
      <c r="N156" s="29">
        <f t="shared" ref="N156" si="112">+N155+N142</f>
        <v>352.01000000000005</v>
      </c>
      <c r="O156" s="29">
        <f t="shared" ref="O156" si="113">+O155+O142</f>
        <v>0</v>
      </c>
      <c r="P156" s="29">
        <f t="shared" ref="P156" si="114">+P155+P142</f>
        <v>0</v>
      </c>
      <c r="Q156" s="28"/>
    </row>
    <row r="157" spans="1:17" hidden="1">
      <c r="A157" s="287" t="s">
        <v>272</v>
      </c>
      <c r="B157" s="287"/>
      <c r="C157" s="306" t="s">
        <v>273</v>
      </c>
      <c r="D157" s="306"/>
      <c r="E157" s="306"/>
      <c r="F157" s="306"/>
      <c r="G157" s="306"/>
      <c r="H157" s="306"/>
      <c r="I157" s="306"/>
      <c r="J157" s="306"/>
      <c r="K157" s="306"/>
      <c r="L157" s="306"/>
      <c r="M157" s="306"/>
      <c r="N157" s="306"/>
      <c r="O157" s="306"/>
      <c r="P157" s="306"/>
      <c r="Q157" s="306"/>
    </row>
    <row r="158" spans="1:17" ht="39" hidden="1" customHeight="1">
      <c r="A158" s="304" t="s">
        <v>388</v>
      </c>
      <c r="B158" s="304"/>
      <c r="C158" s="138"/>
      <c r="D158" s="198"/>
      <c r="E158" s="198"/>
      <c r="F158" s="198"/>
      <c r="G158" s="198"/>
      <c r="H158" s="199"/>
      <c r="I158" s="198"/>
      <c r="J158" s="198"/>
      <c r="K158" s="198"/>
      <c r="L158" s="198"/>
      <c r="M158" s="198"/>
      <c r="N158" s="305" t="s">
        <v>467</v>
      </c>
      <c r="O158" s="305"/>
      <c r="P158" s="305"/>
      <c r="Q158" s="198"/>
    </row>
    <row r="159" spans="1:17" ht="56.25" hidden="1">
      <c r="A159" s="111" t="s">
        <v>248</v>
      </c>
      <c r="B159" s="111" t="s">
        <v>302</v>
      </c>
      <c r="C159" s="111" t="s">
        <v>274</v>
      </c>
      <c r="D159" s="111" t="s">
        <v>251</v>
      </c>
      <c r="E159" s="111" t="s">
        <v>275</v>
      </c>
      <c r="F159" s="111" t="s">
        <v>257</v>
      </c>
      <c r="G159" s="111" t="s">
        <v>301</v>
      </c>
      <c r="H159" s="112" t="s">
        <v>258</v>
      </c>
      <c r="I159" s="111" t="s">
        <v>259</v>
      </c>
      <c r="J159" s="111" t="s">
        <v>260</v>
      </c>
      <c r="K159" s="111" t="s">
        <v>261</v>
      </c>
      <c r="L159" s="111" t="s">
        <v>262</v>
      </c>
      <c r="M159" s="111" t="s">
        <v>263</v>
      </c>
      <c r="N159" s="111" t="s">
        <v>264</v>
      </c>
      <c r="O159" s="111" t="s">
        <v>265</v>
      </c>
      <c r="P159" s="111" t="s">
        <v>266</v>
      </c>
      <c r="Q159" s="111" t="s">
        <v>101</v>
      </c>
    </row>
    <row r="160" spans="1:17" ht="15.75" hidden="1">
      <c r="A160" s="92" t="s">
        <v>283</v>
      </c>
      <c r="B160" s="4"/>
      <c r="C160" s="4"/>
      <c r="D160" s="4"/>
      <c r="E160" s="4"/>
      <c r="F160" s="4"/>
      <c r="G160" s="4"/>
      <c r="H160" s="58"/>
      <c r="I160" s="5"/>
      <c r="J160" s="5"/>
      <c r="K160" s="5"/>
      <c r="L160" s="5"/>
      <c r="M160" s="5"/>
      <c r="N160" s="5"/>
      <c r="O160" s="5"/>
      <c r="P160" s="5"/>
      <c r="Q160" s="4"/>
    </row>
    <row r="161" spans="1:17" hidden="1">
      <c r="A161" s="18" t="s">
        <v>276</v>
      </c>
      <c r="B161" s="4"/>
      <c r="C161" s="4"/>
      <c r="D161" s="4"/>
      <c r="E161" s="4"/>
      <c r="F161" s="4"/>
      <c r="G161" s="4"/>
      <c r="H161" s="58"/>
      <c r="I161" s="5"/>
      <c r="J161" s="5"/>
      <c r="K161" s="5"/>
      <c r="L161" s="5"/>
      <c r="M161" s="5"/>
      <c r="N161" s="5"/>
      <c r="O161" s="5"/>
      <c r="P161" s="5"/>
      <c r="Q161" s="4"/>
    </row>
    <row r="162" spans="1:17" hidden="1">
      <c r="A162" s="4"/>
      <c r="B162" s="4"/>
      <c r="C162" s="4"/>
      <c r="D162" s="4"/>
      <c r="E162" s="4"/>
      <c r="F162" s="4"/>
      <c r="G162" s="4"/>
      <c r="H162" s="58"/>
      <c r="I162" s="9">
        <f>+L110</f>
        <v>0</v>
      </c>
      <c r="J162" s="4"/>
      <c r="K162" s="4"/>
      <c r="L162" s="9">
        <f>+I162+J162-K162</f>
        <v>0</v>
      </c>
      <c r="M162" s="4"/>
      <c r="N162" s="9">
        <f>+M162</f>
        <v>0</v>
      </c>
      <c r="O162" s="9"/>
      <c r="P162" s="9"/>
      <c r="Q162" s="4"/>
    </row>
    <row r="163" spans="1:17" hidden="1">
      <c r="A163" s="89"/>
      <c r="B163" s="89"/>
      <c r="C163" s="89"/>
      <c r="D163" s="89"/>
      <c r="E163" s="89"/>
      <c r="F163" s="89"/>
      <c r="G163" s="89"/>
      <c r="H163" s="90"/>
      <c r="I163" s="29">
        <f>+I162</f>
        <v>0</v>
      </c>
      <c r="J163" s="29">
        <f t="shared" ref="J163:P163" si="115">+J162</f>
        <v>0</v>
      </c>
      <c r="K163" s="29">
        <f t="shared" si="115"/>
        <v>0</v>
      </c>
      <c r="L163" s="29">
        <f t="shared" si="115"/>
        <v>0</v>
      </c>
      <c r="M163" s="29">
        <f t="shared" si="115"/>
        <v>0</v>
      </c>
      <c r="N163" s="29">
        <f t="shared" si="115"/>
        <v>0</v>
      </c>
      <c r="O163" s="29">
        <f t="shared" si="115"/>
        <v>0</v>
      </c>
      <c r="P163" s="29">
        <f t="shared" si="115"/>
        <v>0</v>
      </c>
      <c r="Q163" s="89"/>
    </row>
    <row r="164" spans="1:17" hidden="1">
      <c r="A164" s="18" t="s">
        <v>277</v>
      </c>
      <c r="B164" s="4"/>
      <c r="C164" s="4"/>
      <c r="D164" s="4"/>
      <c r="E164" s="4"/>
      <c r="F164" s="4"/>
      <c r="G164" s="4"/>
      <c r="H164" s="58"/>
      <c r="I164" s="5"/>
      <c r="J164" s="5"/>
      <c r="K164" s="5"/>
      <c r="L164" s="5"/>
      <c r="M164" s="5"/>
      <c r="N164" s="5"/>
      <c r="O164" s="5"/>
      <c r="P164" s="5"/>
      <c r="Q164" s="4"/>
    </row>
    <row r="165" spans="1:17" hidden="1">
      <c r="A165" s="4"/>
      <c r="B165" s="4"/>
      <c r="C165" s="4"/>
      <c r="D165" s="4"/>
      <c r="E165" s="4"/>
      <c r="F165" s="4"/>
      <c r="G165" s="4"/>
      <c r="H165" s="58"/>
      <c r="I165" s="9">
        <f>+L113</f>
        <v>0</v>
      </c>
      <c r="J165" s="4"/>
      <c r="K165" s="4"/>
      <c r="L165" s="9">
        <f>+I165+J165-K165</f>
        <v>0</v>
      </c>
      <c r="M165" s="4"/>
      <c r="N165" s="9">
        <f>+M165</f>
        <v>0</v>
      </c>
      <c r="O165" s="9"/>
      <c r="P165" s="9"/>
      <c r="Q165" s="4"/>
    </row>
    <row r="166" spans="1:17" hidden="1">
      <c r="A166" s="89"/>
      <c r="B166" s="89"/>
      <c r="C166" s="89"/>
      <c r="D166" s="89"/>
      <c r="E166" s="89"/>
      <c r="F166" s="89"/>
      <c r="G166" s="89"/>
      <c r="H166" s="90"/>
      <c r="I166" s="29">
        <f>+I165</f>
        <v>0</v>
      </c>
      <c r="J166" s="29">
        <f t="shared" ref="J166:P166" si="116">+J165</f>
        <v>0</v>
      </c>
      <c r="K166" s="29">
        <f t="shared" si="116"/>
        <v>0</v>
      </c>
      <c r="L166" s="29">
        <f t="shared" si="116"/>
        <v>0</v>
      </c>
      <c r="M166" s="29">
        <f t="shared" si="116"/>
        <v>0</v>
      </c>
      <c r="N166" s="29">
        <f t="shared" si="116"/>
        <v>0</v>
      </c>
      <c r="O166" s="29">
        <f t="shared" si="116"/>
        <v>0</v>
      </c>
      <c r="P166" s="29">
        <f t="shared" si="116"/>
        <v>0</v>
      </c>
      <c r="Q166" s="89"/>
    </row>
    <row r="167" spans="1:17" hidden="1">
      <c r="A167" s="18" t="s">
        <v>278</v>
      </c>
      <c r="B167" s="4"/>
      <c r="C167" s="4"/>
      <c r="D167" s="4"/>
      <c r="E167" s="4"/>
      <c r="F167" s="4"/>
      <c r="G167" s="4"/>
      <c r="H167" s="58"/>
      <c r="I167" s="5"/>
      <c r="J167" s="5"/>
      <c r="K167" s="5"/>
      <c r="L167" s="5"/>
      <c r="M167" s="5"/>
      <c r="N167" s="5"/>
      <c r="O167" s="5"/>
      <c r="P167" s="5"/>
      <c r="Q167" s="4"/>
    </row>
    <row r="168" spans="1:17" hidden="1">
      <c r="A168" s="4"/>
      <c r="B168" s="4"/>
      <c r="C168" s="4"/>
      <c r="D168" s="4"/>
      <c r="E168" s="4"/>
      <c r="F168" s="4"/>
      <c r="G168" s="4"/>
      <c r="H168" s="58"/>
      <c r="I168" s="9">
        <f>+L116</f>
        <v>0</v>
      </c>
      <c r="J168" s="4"/>
      <c r="K168" s="4"/>
      <c r="L168" s="9">
        <f>+I168+J168-K168</f>
        <v>0</v>
      </c>
      <c r="M168" s="4"/>
      <c r="N168" s="9">
        <f>+M168</f>
        <v>0</v>
      </c>
      <c r="O168" s="9"/>
      <c r="P168" s="9"/>
      <c r="Q168" s="4"/>
    </row>
    <row r="169" spans="1:17" hidden="1">
      <c r="A169" s="89"/>
      <c r="B169" s="89"/>
      <c r="C169" s="89"/>
      <c r="D169" s="89"/>
      <c r="E169" s="89"/>
      <c r="F169" s="89"/>
      <c r="G169" s="89"/>
      <c r="H169" s="90"/>
      <c r="I169" s="29">
        <f>+I168</f>
        <v>0</v>
      </c>
      <c r="J169" s="29">
        <f t="shared" ref="J169:P169" si="117">+J168</f>
        <v>0</v>
      </c>
      <c r="K169" s="29">
        <f t="shared" si="117"/>
        <v>0</v>
      </c>
      <c r="L169" s="29">
        <f t="shared" si="117"/>
        <v>0</v>
      </c>
      <c r="M169" s="29">
        <f t="shared" si="117"/>
        <v>0</v>
      </c>
      <c r="N169" s="29">
        <f t="shared" si="117"/>
        <v>0</v>
      </c>
      <c r="O169" s="29">
        <f t="shared" si="117"/>
        <v>0</v>
      </c>
      <c r="P169" s="29">
        <f t="shared" si="117"/>
        <v>0</v>
      </c>
      <c r="Q169" s="89"/>
    </row>
    <row r="170" spans="1:17" hidden="1">
      <c r="A170" s="18" t="s">
        <v>279</v>
      </c>
      <c r="B170" s="4"/>
      <c r="C170" s="4"/>
      <c r="D170" s="4"/>
      <c r="E170" s="4"/>
      <c r="F170" s="4"/>
      <c r="G170" s="4"/>
      <c r="H170" s="58"/>
      <c r="I170" s="4"/>
      <c r="J170" s="4"/>
      <c r="K170" s="4"/>
      <c r="L170" s="4"/>
      <c r="M170" s="4"/>
      <c r="N170" s="4"/>
      <c r="O170" s="4"/>
      <c r="P170" s="4"/>
      <c r="Q170" s="4"/>
    </row>
    <row r="171" spans="1:17" hidden="1">
      <c r="A171" s="4"/>
      <c r="B171" s="4" t="s">
        <v>280</v>
      </c>
      <c r="C171" s="4"/>
      <c r="D171" s="4"/>
      <c r="E171" s="4"/>
      <c r="F171" s="4"/>
      <c r="G171" s="4"/>
      <c r="H171" s="58"/>
      <c r="I171" s="9">
        <f t="shared" ref="I171:I186" si="118">+L119</f>
        <v>1900.0800000000002</v>
      </c>
      <c r="J171" s="9">
        <v>840.54</v>
      </c>
      <c r="K171" s="4">
        <v>33.21</v>
      </c>
      <c r="L171" s="9">
        <f t="shared" ref="L171:L175" si="119">+I171+J171-K171</f>
        <v>2707.41</v>
      </c>
      <c r="M171" s="9"/>
      <c r="N171" s="9">
        <f t="shared" ref="N171:N186" si="120">+M171</f>
        <v>0</v>
      </c>
      <c r="O171" s="9"/>
      <c r="P171" s="9"/>
      <c r="Q171" s="4"/>
    </row>
    <row r="172" spans="1:17" hidden="1">
      <c r="A172" s="4"/>
      <c r="B172" s="4" t="s">
        <v>281</v>
      </c>
      <c r="C172" s="4"/>
      <c r="D172" s="4"/>
      <c r="E172" s="4"/>
      <c r="F172" s="4"/>
      <c r="G172" s="4"/>
      <c r="H172" s="58"/>
      <c r="I172" s="9">
        <f t="shared" si="118"/>
        <v>831.34</v>
      </c>
      <c r="J172" s="9">
        <v>781.54</v>
      </c>
      <c r="K172" s="4">
        <v>143.71</v>
      </c>
      <c r="L172" s="9">
        <f t="shared" si="119"/>
        <v>1469.17</v>
      </c>
      <c r="M172" s="4"/>
      <c r="N172" s="9">
        <f t="shared" si="120"/>
        <v>0</v>
      </c>
      <c r="O172" s="9"/>
      <c r="P172" s="9"/>
      <c r="Q172" s="4"/>
    </row>
    <row r="173" spans="1:17" hidden="1">
      <c r="A173" s="4"/>
      <c r="B173" s="4" t="s">
        <v>285</v>
      </c>
      <c r="C173" s="4"/>
      <c r="D173" s="4"/>
      <c r="E173" s="4"/>
      <c r="F173" s="4"/>
      <c r="G173" s="4"/>
      <c r="H173" s="58"/>
      <c r="I173" s="9">
        <f t="shared" si="118"/>
        <v>1.9800000000000002</v>
      </c>
      <c r="J173" s="9"/>
      <c r="K173" s="4">
        <v>1.1399999999999999</v>
      </c>
      <c r="L173" s="9">
        <f t="shared" si="119"/>
        <v>0.8400000000000003</v>
      </c>
      <c r="M173" s="4"/>
      <c r="N173" s="9">
        <f t="shared" si="120"/>
        <v>0</v>
      </c>
      <c r="O173" s="9"/>
      <c r="P173" s="9"/>
      <c r="Q173" s="4"/>
    </row>
    <row r="174" spans="1:17" hidden="1">
      <c r="A174" s="4"/>
      <c r="B174" s="4" t="s">
        <v>286</v>
      </c>
      <c r="C174" s="4"/>
      <c r="D174" s="4"/>
      <c r="E174" s="4"/>
      <c r="F174" s="4"/>
      <c r="G174" s="4"/>
      <c r="H174" s="58"/>
      <c r="I174" s="9">
        <f t="shared" si="118"/>
        <v>0</v>
      </c>
      <c r="J174" s="9"/>
      <c r="K174" s="9"/>
      <c r="L174" s="9">
        <f t="shared" si="119"/>
        <v>0</v>
      </c>
      <c r="M174" s="4"/>
      <c r="N174" s="9">
        <f t="shared" si="120"/>
        <v>0</v>
      </c>
      <c r="O174" s="9"/>
      <c r="P174" s="9"/>
      <c r="Q174" s="4"/>
    </row>
    <row r="175" spans="1:17" hidden="1">
      <c r="A175" s="4"/>
      <c r="B175" s="4" t="s">
        <v>287</v>
      </c>
      <c r="C175" s="4"/>
      <c r="D175" s="4"/>
      <c r="E175" s="4"/>
      <c r="F175" s="4"/>
      <c r="G175" s="4"/>
      <c r="H175" s="58"/>
      <c r="I175" s="9">
        <f t="shared" si="118"/>
        <v>39.940000000000005</v>
      </c>
      <c r="J175" s="9">
        <v>13.89</v>
      </c>
      <c r="K175" s="4">
        <v>6.13</v>
      </c>
      <c r="L175" s="9">
        <f t="shared" si="119"/>
        <v>47.7</v>
      </c>
      <c r="M175" s="4"/>
      <c r="N175" s="9">
        <f t="shared" si="120"/>
        <v>0</v>
      </c>
      <c r="O175" s="9"/>
      <c r="P175" s="9"/>
      <c r="Q175" s="4"/>
    </row>
    <row r="176" spans="1:17" hidden="1">
      <c r="A176" s="4"/>
      <c r="B176" s="4" t="s">
        <v>371</v>
      </c>
      <c r="C176" s="4"/>
      <c r="D176" s="4"/>
      <c r="E176" s="4"/>
      <c r="F176" s="4"/>
      <c r="G176" s="4"/>
      <c r="H176" s="58"/>
      <c r="I176" s="9">
        <f t="shared" si="118"/>
        <v>10.28</v>
      </c>
      <c r="J176" s="9"/>
      <c r="K176" s="4">
        <v>2.68</v>
      </c>
      <c r="L176" s="9">
        <f>+I176+J176-K176</f>
        <v>7.6</v>
      </c>
      <c r="M176" s="4"/>
      <c r="N176" s="9">
        <f t="shared" si="120"/>
        <v>0</v>
      </c>
      <c r="O176" s="9"/>
      <c r="P176" s="9"/>
      <c r="Q176" s="4"/>
    </row>
    <row r="177" spans="1:17" hidden="1">
      <c r="A177" s="4"/>
      <c r="B177" s="4" t="s">
        <v>288</v>
      </c>
      <c r="C177" s="4"/>
      <c r="D177" s="4"/>
      <c r="E177" s="4"/>
      <c r="F177" s="4"/>
      <c r="G177" s="4"/>
      <c r="H177" s="58"/>
      <c r="I177" s="9">
        <f t="shared" si="118"/>
        <v>0</v>
      </c>
      <c r="J177" s="9"/>
      <c r="K177" s="4"/>
      <c r="L177" s="9">
        <f t="shared" ref="L177:L186" si="121">+I177+J177-K177</f>
        <v>0</v>
      </c>
      <c r="M177" s="4"/>
      <c r="N177" s="9">
        <f t="shared" si="120"/>
        <v>0</v>
      </c>
      <c r="O177" s="9"/>
      <c r="P177" s="9"/>
      <c r="Q177" s="4"/>
    </row>
    <row r="178" spans="1:17" hidden="1">
      <c r="A178" s="4"/>
      <c r="B178" s="4" t="s">
        <v>289</v>
      </c>
      <c r="C178" s="4"/>
      <c r="D178" s="4"/>
      <c r="E178" s="4"/>
      <c r="F178" s="4"/>
      <c r="G178" s="4"/>
      <c r="H178" s="58"/>
      <c r="I178" s="9">
        <f t="shared" si="118"/>
        <v>9.5100000000000016</v>
      </c>
      <c r="J178" s="9"/>
      <c r="K178" s="4">
        <v>1.34</v>
      </c>
      <c r="L178" s="9">
        <f t="shared" si="121"/>
        <v>8.1700000000000017</v>
      </c>
      <c r="M178" s="4"/>
      <c r="N178" s="9">
        <f t="shared" si="120"/>
        <v>0</v>
      </c>
      <c r="O178" s="9"/>
      <c r="P178" s="9"/>
      <c r="Q178" s="4"/>
    </row>
    <row r="179" spans="1:17" hidden="1">
      <c r="A179" s="4"/>
      <c r="B179" s="4" t="s">
        <v>290</v>
      </c>
      <c r="C179" s="4"/>
      <c r="D179" s="4"/>
      <c r="E179" s="4"/>
      <c r="F179" s="4"/>
      <c r="G179" s="4"/>
      <c r="H179" s="58"/>
      <c r="I179" s="9">
        <f t="shared" si="118"/>
        <v>20.260000000000002</v>
      </c>
      <c r="J179" s="9"/>
      <c r="K179" s="4">
        <v>5.13</v>
      </c>
      <c r="L179" s="9">
        <f t="shared" si="121"/>
        <v>15.130000000000003</v>
      </c>
      <c r="M179" s="4"/>
      <c r="N179" s="9">
        <f t="shared" si="120"/>
        <v>0</v>
      </c>
      <c r="O179" s="9"/>
      <c r="P179" s="9"/>
      <c r="Q179" s="4"/>
    </row>
    <row r="180" spans="1:17" hidden="1">
      <c r="A180" s="4"/>
      <c r="B180" s="4" t="s">
        <v>291</v>
      </c>
      <c r="C180" s="4"/>
      <c r="D180" s="4"/>
      <c r="E180" s="4"/>
      <c r="F180" s="4"/>
      <c r="G180" s="4"/>
      <c r="H180" s="58"/>
      <c r="I180" s="9">
        <f t="shared" si="118"/>
        <v>80.460000000000008</v>
      </c>
      <c r="J180" s="9"/>
      <c r="K180" s="4">
        <v>24.02</v>
      </c>
      <c r="L180" s="9">
        <f t="shared" si="121"/>
        <v>56.440000000000012</v>
      </c>
      <c r="M180" s="9"/>
      <c r="N180" s="9">
        <f t="shared" si="120"/>
        <v>0</v>
      </c>
      <c r="O180" s="9"/>
      <c r="P180" s="9"/>
      <c r="Q180" s="4"/>
    </row>
    <row r="181" spans="1:17" hidden="1">
      <c r="A181" s="4"/>
      <c r="B181" s="4" t="s">
        <v>292</v>
      </c>
      <c r="C181" s="4"/>
      <c r="D181" s="4"/>
      <c r="E181" s="4"/>
      <c r="F181" s="4"/>
      <c r="G181" s="4"/>
      <c r="H181" s="58"/>
      <c r="I181" s="9">
        <f t="shared" si="118"/>
        <v>0</v>
      </c>
      <c r="J181" s="9"/>
      <c r="K181" s="4"/>
      <c r="L181" s="9">
        <f t="shared" si="121"/>
        <v>0</v>
      </c>
      <c r="M181" s="4"/>
      <c r="N181" s="9">
        <f t="shared" si="120"/>
        <v>0</v>
      </c>
      <c r="O181" s="9"/>
      <c r="P181" s="9"/>
      <c r="Q181" s="4"/>
    </row>
    <row r="182" spans="1:17" hidden="1">
      <c r="A182" s="4"/>
      <c r="B182" s="4" t="s">
        <v>293</v>
      </c>
      <c r="C182" s="4"/>
      <c r="D182" s="4"/>
      <c r="E182" s="4"/>
      <c r="F182" s="4"/>
      <c r="G182" s="4"/>
      <c r="H182" s="58"/>
      <c r="I182" s="9">
        <f t="shared" si="118"/>
        <v>17.98</v>
      </c>
      <c r="J182" s="9"/>
      <c r="K182" s="4">
        <v>5.48</v>
      </c>
      <c r="L182" s="9">
        <f t="shared" si="121"/>
        <v>12.5</v>
      </c>
      <c r="M182" s="4"/>
      <c r="N182" s="9">
        <f t="shared" si="120"/>
        <v>0</v>
      </c>
      <c r="O182" s="9"/>
      <c r="P182" s="9"/>
      <c r="Q182" s="4"/>
    </row>
    <row r="183" spans="1:17" hidden="1">
      <c r="A183" s="4"/>
      <c r="B183" s="4" t="s">
        <v>294</v>
      </c>
      <c r="C183" s="4"/>
      <c r="D183" s="4"/>
      <c r="E183" s="4"/>
      <c r="F183" s="4"/>
      <c r="G183" s="4"/>
      <c r="H183" s="58"/>
      <c r="I183" s="9">
        <f t="shared" si="118"/>
        <v>7.9999999999999991</v>
      </c>
      <c r="J183" s="9"/>
      <c r="K183" s="4">
        <v>1.96</v>
      </c>
      <c r="L183" s="9">
        <f t="shared" si="121"/>
        <v>6.0399999999999991</v>
      </c>
      <c r="M183" s="4"/>
      <c r="N183" s="9">
        <f t="shared" si="120"/>
        <v>0</v>
      </c>
      <c r="O183" s="9"/>
      <c r="P183" s="9"/>
      <c r="Q183" s="4"/>
    </row>
    <row r="184" spans="1:17" hidden="1">
      <c r="A184" s="4"/>
      <c r="B184" s="4" t="s">
        <v>295</v>
      </c>
      <c r="C184" s="4"/>
      <c r="D184" s="4"/>
      <c r="E184" s="4"/>
      <c r="F184" s="4"/>
      <c r="G184" s="4"/>
      <c r="H184" s="58"/>
      <c r="I184" s="9">
        <f t="shared" si="118"/>
        <v>9.66</v>
      </c>
      <c r="J184" s="9"/>
      <c r="K184" s="9">
        <v>2.9</v>
      </c>
      <c r="L184" s="9">
        <f t="shared" si="121"/>
        <v>6.76</v>
      </c>
      <c r="M184" s="4"/>
      <c r="N184" s="9">
        <f t="shared" si="120"/>
        <v>0</v>
      </c>
      <c r="O184" s="9"/>
      <c r="P184" s="9"/>
      <c r="Q184" s="4"/>
    </row>
    <row r="185" spans="1:17" hidden="1">
      <c r="A185" s="4"/>
      <c r="B185" s="4" t="s">
        <v>296</v>
      </c>
      <c r="C185" s="4"/>
      <c r="D185" s="4"/>
      <c r="E185" s="4"/>
      <c r="F185" s="4"/>
      <c r="G185" s="4"/>
      <c r="H185" s="58"/>
      <c r="I185" s="9">
        <f t="shared" si="118"/>
        <v>3.6899999999999995</v>
      </c>
      <c r="J185" s="9"/>
      <c r="K185" s="4">
        <v>1.1100000000000001</v>
      </c>
      <c r="L185" s="9">
        <f t="shared" si="121"/>
        <v>2.5799999999999992</v>
      </c>
      <c r="M185" s="4"/>
      <c r="N185" s="9">
        <f t="shared" si="120"/>
        <v>0</v>
      </c>
      <c r="O185" s="9"/>
      <c r="P185" s="9"/>
      <c r="Q185" s="4"/>
    </row>
    <row r="186" spans="1:17" hidden="1">
      <c r="A186" s="4"/>
      <c r="B186" s="4" t="s">
        <v>297</v>
      </c>
      <c r="C186" s="4"/>
      <c r="D186" s="4"/>
      <c r="E186" s="4"/>
      <c r="F186" s="4"/>
      <c r="G186" s="4"/>
      <c r="H186" s="58"/>
      <c r="I186" s="9">
        <f t="shared" si="118"/>
        <v>3.83</v>
      </c>
      <c r="J186" s="9"/>
      <c r="K186" s="4">
        <v>0.96</v>
      </c>
      <c r="L186" s="9">
        <f t="shared" si="121"/>
        <v>2.87</v>
      </c>
      <c r="M186" s="4"/>
      <c r="N186" s="9">
        <f t="shared" si="120"/>
        <v>0</v>
      </c>
      <c r="O186" s="9"/>
      <c r="P186" s="9"/>
      <c r="Q186" s="4"/>
    </row>
    <row r="187" spans="1:17" hidden="1">
      <c r="A187" s="4"/>
      <c r="B187" s="200" t="s">
        <v>469</v>
      </c>
      <c r="C187" s="4"/>
      <c r="D187" s="4"/>
      <c r="E187" s="4"/>
      <c r="F187" s="4"/>
      <c r="G187" s="4"/>
      <c r="H187" s="58"/>
      <c r="I187" s="9">
        <f t="shared" ref="I187:I192" si="122">+L135</f>
        <v>0</v>
      </c>
      <c r="J187" s="9"/>
      <c r="K187" s="4"/>
      <c r="L187" s="9">
        <f t="shared" ref="L187:L192" si="123">+I187+J187-K187</f>
        <v>0</v>
      </c>
      <c r="M187" s="4"/>
      <c r="N187" s="9">
        <f t="shared" ref="N187:N192" si="124">+M187</f>
        <v>0</v>
      </c>
      <c r="O187" s="9"/>
      <c r="P187" s="9"/>
      <c r="Q187" s="4"/>
    </row>
    <row r="188" spans="1:17" hidden="1">
      <c r="A188" s="4"/>
      <c r="B188" s="4" t="s">
        <v>298</v>
      </c>
      <c r="C188" s="4"/>
      <c r="D188" s="4"/>
      <c r="E188" s="4"/>
      <c r="F188" s="4"/>
      <c r="G188" s="4"/>
      <c r="H188" s="58"/>
      <c r="I188" s="9">
        <f t="shared" si="122"/>
        <v>52.13</v>
      </c>
      <c r="J188" s="9"/>
      <c r="K188" s="4">
        <v>8.34</v>
      </c>
      <c r="L188" s="9">
        <f t="shared" si="123"/>
        <v>43.790000000000006</v>
      </c>
      <c r="M188" s="4"/>
      <c r="N188" s="9">
        <f t="shared" si="124"/>
        <v>0</v>
      </c>
      <c r="O188" s="9"/>
      <c r="P188" s="9"/>
      <c r="Q188" s="4"/>
    </row>
    <row r="189" spans="1:17" hidden="1">
      <c r="A189" s="4"/>
      <c r="B189" s="4" t="s">
        <v>299</v>
      </c>
      <c r="C189" s="4"/>
      <c r="D189" s="4"/>
      <c r="E189" s="4"/>
      <c r="F189" s="4"/>
      <c r="G189" s="4"/>
      <c r="H189" s="58"/>
      <c r="I189" s="9">
        <f t="shared" si="122"/>
        <v>77.42</v>
      </c>
      <c r="J189" s="9"/>
      <c r="K189" s="4">
        <v>3.15</v>
      </c>
      <c r="L189" s="9">
        <f t="shared" si="123"/>
        <v>74.27</v>
      </c>
      <c r="M189" s="4"/>
      <c r="N189" s="9">
        <f t="shared" si="124"/>
        <v>0</v>
      </c>
      <c r="O189" s="9"/>
      <c r="P189" s="9"/>
      <c r="Q189" s="4"/>
    </row>
    <row r="190" spans="1:17" hidden="1">
      <c r="A190" s="4"/>
      <c r="B190" s="4" t="s">
        <v>300</v>
      </c>
      <c r="C190" s="4"/>
      <c r="D190" s="4"/>
      <c r="E190" s="4"/>
      <c r="F190" s="4"/>
      <c r="G190" s="4"/>
      <c r="H190" s="58"/>
      <c r="I190" s="9">
        <f t="shared" si="122"/>
        <v>19.940000000000001</v>
      </c>
      <c r="J190" s="9"/>
      <c r="K190" s="4">
        <v>2.52</v>
      </c>
      <c r="L190" s="9">
        <f t="shared" si="123"/>
        <v>17.420000000000002</v>
      </c>
      <c r="M190" s="4"/>
      <c r="N190" s="9">
        <f t="shared" si="124"/>
        <v>0</v>
      </c>
      <c r="O190" s="9"/>
      <c r="P190" s="9"/>
      <c r="Q190" s="4"/>
    </row>
    <row r="191" spans="1:17" hidden="1">
      <c r="A191" s="4"/>
      <c r="B191" s="4" t="s">
        <v>372</v>
      </c>
      <c r="C191" s="4"/>
      <c r="D191" s="4"/>
      <c r="E191" s="4"/>
      <c r="F191" s="4"/>
      <c r="G191" s="4"/>
      <c r="H191" s="58"/>
      <c r="I191" s="9">
        <f t="shared" si="122"/>
        <v>7.9</v>
      </c>
      <c r="J191" s="9">
        <v>16.46</v>
      </c>
      <c r="K191" s="4">
        <v>2.19</v>
      </c>
      <c r="L191" s="9">
        <f t="shared" si="123"/>
        <v>22.169999999999998</v>
      </c>
      <c r="M191" s="4"/>
      <c r="N191" s="9">
        <f t="shared" si="124"/>
        <v>0</v>
      </c>
      <c r="O191" s="9"/>
      <c r="P191" s="9"/>
      <c r="Q191" s="4"/>
    </row>
    <row r="192" spans="1:17" hidden="1">
      <c r="A192" s="4"/>
      <c r="B192" s="4" t="s">
        <v>410</v>
      </c>
      <c r="C192" s="4"/>
      <c r="D192" s="4"/>
      <c r="E192" s="4"/>
      <c r="F192" s="4"/>
      <c r="G192" s="4"/>
      <c r="H192" s="58"/>
      <c r="I192" s="9">
        <f t="shared" si="122"/>
        <v>28.430000000000003</v>
      </c>
      <c r="J192" s="9">
        <v>2.29</v>
      </c>
      <c r="K192" s="4">
        <v>3.02</v>
      </c>
      <c r="L192" s="9">
        <f t="shared" si="123"/>
        <v>27.700000000000003</v>
      </c>
      <c r="M192" s="4"/>
      <c r="N192" s="9">
        <f t="shared" si="124"/>
        <v>0</v>
      </c>
      <c r="O192" s="9"/>
      <c r="P192" s="9"/>
      <c r="Q192" s="4"/>
    </row>
    <row r="193" spans="1:17" hidden="1">
      <c r="A193" s="89"/>
      <c r="B193" s="89"/>
      <c r="C193" s="89"/>
      <c r="D193" s="89"/>
      <c r="E193" s="89"/>
      <c r="F193" s="89"/>
      <c r="G193" s="89"/>
      <c r="H193" s="90"/>
      <c r="I193" s="29">
        <f>SUM(I171:I192)</f>
        <v>3122.8300000000008</v>
      </c>
      <c r="J193" s="29">
        <f t="shared" ref="J193:P193" si="125">SUM(J171:J192)</f>
        <v>1654.72</v>
      </c>
      <c r="K193" s="29">
        <f t="shared" si="125"/>
        <v>248.99000000000007</v>
      </c>
      <c r="L193" s="29">
        <f t="shared" si="125"/>
        <v>4528.5600000000004</v>
      </c>
      <c r="M193" s="29">
        <f t="shared" si="125"/>
        <v>0</v>
      </c>
      <c r="N193" s="29">
        <f t="shared" si="125"/>
        <v>0</v>
      </c>
      <c r="O193" s="29">
        <f t="shared" si="125"/>
        <v>0</v>
      </c>
      <c r="P193" s="29">
        <f t="shared" si="125"/>
        <v>0</v>
      </c>
      <c r="Q193" s="89"/>
    </row>
    <row r="194" spans="1:17" hidden="1">
      <c r="A194" s="28"/>
      <c r="B194" s="28"/>
      <c r="C194" s="28"/>
      <c r="D194" s="28"/>
      <c r="E194" s="28"/>
      <c r="F194" s="28"/>
      <c r="G194" s="28"/>
      <c r="H194" s="91"/>
      <c r="I194" s="29">
        <f t="shared" ref="I194" si="126">+I163+I166+I169+I193</f>
        <v>3122.8300000000008</v>
      </c>
      <c r="J194" s="29">
        <f t="shared" ref="J194" si="127">+J163+J166+J169+J193</f>
        <v>1654.72</v>
      </c>
      <c r="K194" s="29">
        <f t="shared" ref="K194" si="128">+K163+K166+K169+K193</f>
        <v>248.99000000000007</v>
      </c>
      <c r="L194" s="29">
        <f t="shared" ref="L194" si="129">+L163+L166+L169+L193</f>
        <v>4528.5600000000004</v>
      </c>
      <c r="M194" s="29">
        <f t="shared" ref="M194" si="130">+M163+M166+M169+M193</f>
        <v>0</v>
      </c>
      <c r="N194" s="29">
        <f t="shared" ref="N194" si="131">+N163+N166+N169+N193</f>
        <v>0</v>
      </c>
      <c r="O194" s="29">
        <f t="shared" ref="O194" si="132">+O163+O166+O169+O193</f>
        <v>0</v>
      </c>
      <c r="P194" s="29">
        <f t="shared" ref="P194" si="133">+P163+P166+P169+P193</f>
        <v>0</v>
      </c>
      <c r="Q194" s="28"/>
    </row>
    <row r="195" spans="1:17" ht="15.75" hidden="1">
      <c r="A195" s="92" t="s">
        <v>282</v>
      </c>
      <c r="B195" s="4"/>
      <c r="C195" s="4"/>
      <c r="D195" s="4"/>
      <c r="E195" s="4"/>
      <c r="F195" s="4"/>
      <c r="G195" s="4"/>
      <c r="H195" s="58"/>
      <c r="I195" s="4"/>
      <c r="J195" s="4"/>
      <c r="K195" s="4"/>
      <c r="L195" s="4"/>
      <c r="M195" s="4"/>
      <c r="N195" s="4"/>
      <c r="O195" s="4"/>
      <c r="P195" s="4"/>
      <c r="Q195" s="4"/>
    </row>
    <row r="196" spans="1:17" hidden="1">
      <c r="A196" s="18" t="s">
        <v>276</v>
      </c>
      <c r="B196" s="4"/>
      <c r="C196" s="4"/>
      <c r="D196" s="4"/>
      <c r="E196" s="4"/>
      <c r="F196" s="4"/>
      <c r="G196" s="4"/>
      <c r="H196" s="58"/>
      <c r="I196" s="5"/>
      <c r="J196" s="5"/>
      <c r="K196" s="5"/>
      <c r="L196" s="5"/>
      <c r="M196" s="5"/>
      <c r="N196" s="5"/>
      <c r="O196" s="5"/>
      <c r="P196" s="5"/>
      <c r="Q196" s="4"/>
    </row>
    <row r="197" spans="1:17" hidden="1">
      <c r="A197" s="18"/>
      <c r="B197" s="4"/>
      <c r="C197" s="4"/>
      <c r="D197" s="4"/>
      <c r="E197" s="4"/>
      <c r="F197" s="4"/>
      <c r="G197" s="4"/>
      <c r="H197" s="58"/>
      <c r="I197" s="9">
        <f t="shared" ref="I197" si="134">+L145</f>
        <v>0</v>
      </c>
      <c r="J197" s="5"/>
      <c r="K197" s="36"/>
      <c r="L197" s="9">
        <f>+I197+J197-K197</f>
        <v>0</v>
      </c>
      <c r="M197" s="4"/>
      <c r="N197" s="9">
        <f>+M197</f>
        <v>0</v>
      </c>
      <c r="O197" s="9"/>
      <c r="P197" s="9"/>
      <c r="Q197" s="4"/>
    </row>
    <row r="198" spans="1:17" hidden="1">
      <c r="A198" s="89"/>
      <c r="B198" s="89"/>
      <c r="C198" s="89"/>
      <c r="D198" s="89"/>
      <c r="E198" s="89"/>
      <c r="F198" s="89"/>
      <c r="G198" s="89"/>
      <c r="H198" s="90"/>
      <c r="I198" s="29">
        <f t="shared" ref="I198" si="135">SUM(I197:I197)</f>
        <v>0</v>
      </c>
      <c r="J198" s="29">
        <f t="shared" ref="J198" si="136">SUM(J197:J197)</f>
        <v>0</v>
      </c>
      <c r="K198" s="29">
        <f t="shared" ref="K198" si="137">SUM(K197:K197)</f>
        <v>0</v>
      </c>
      <c r="L198" s="29">
        <f t="shared" ref="L198" si="138">SUM(L197:L197)</f>
        <v>0</v>
      </c>
      <c r="M198" s="29">
        <f t="shared" ref="M198" si="139">SUM(M197:M197)</f>
        <v>0</v>
      </c>
      <c r="N198" s="29">
        <f t="shared" ref="N198" si="140">SUM(N197:N197)</f>
        <v>0</v>
      </c>
      <c r="O198" s="29">
        <f t="shared" ref="O198" si="141">SUM(O197:O197)</f>
        <v>0</v>
      </c>
      <c r="P198" s="29">
        <f t="shared" ref="P198" si="142">SUM(P197:P197)</f>
        <v>0</v>
      </c>
      <c r="Q198" s="89"/>
    </row>
    <row r="199" spans="1:17" hidden="1">
      <c r="A199" s="18" t="s">
        <v>277</v>
      </c>
      <c r="B199" s="4"/>
      <c r="C199" s="4"/>
      <c r="D199" s="4"/>
      <c r="E199" s="4"/>
      <c r="F199" s="4"/>
      <c r="G199" s="4"/>
      <c r="H199" s="58"/>
      <c r="I199" s="5"/>
      <c r="J199" s="5"/>
      <c r="K199" s="5"/>
      <c r="L199" s="5"/>
      <c r="M199" s="5"/>
      <c r="N199" s="5"/>
      <c r="O199" s="5"/>
      <c r="P199" s="5"/>
      <c r="Q199" s="4"/>
    </row>
    <row r="200" spans="1:17" hidden="1">
      <c r="A200" s="4"/>
      <c r="B200" s="4"/>
      <c r="C200" s="4"/>
      <c r="D200" s="4"/>
      <c r="E200" s="4"/>
      <c r="F200" s="4"/>
      <c r="G200" s="4"/>
      <c r="H200" s="58"/>
      <c r="I200" s="9">
        <f t="shared" ref="I200" si="143">+L148</f>
        <v>0</v>
      </c>
      <c r="J200" s="4"/>
      <c r="K200" s="4"/>
      <c r="L200" s="9">
        <f>+I200+J200-K200</f>
        <v>0</v>
      </c>
      <c r="M200" s="4"/>
      <c r="N200" s="9">
        <f>+M200</f>
        <v>0</v>
      </c>
      <c r="O200" s="9"/>
      <c r="P200" s="9"/>
      <c r="Q200" s="4"/>
    </row>
    <row r="201" spans="1:17" hidden="1">
      <c r="A201" s="89"/>
      <c r="B201" s="89"/>
      <c r="C201" s="89"/>
      <c r="D201" s="89"/>
      <c r="E201" s="89"/>
      <c r="F201" s="89"/>
      <c r="G201" s="89"/>
      <c r="H201" s="90"/>
      <c r="I201" s="29">
        <f>+I200</f>
        <v>0</v>
      </c>
      <c r="J201" s="29">
        <f t="shared" ref="J201:P201" si="144">+J200</f>
        <v>0</v>
      </c>
      <c r="K201" s="29">
        <f t="shared" si="144"/>
        <v>0</v>
      </c>
      <c r="L201" s="29">
        <f t="shared" si="144"/>
        <v>0</v>
      </c>
      <c r="M201" s="29">
        <f t="shared" si="144"/>
        <v>0</v>
      </c>
      <c r="N201" s="29">
        <f t="shared" si="144"/>
        <v>0</v>
      </c>
      <c r="O201" s="29">
        <f t="shared" si="144"/>
        <v>0</v>
      </c>
      <c r="P201" s="29">
        <f t="shared" si="144"/>
        <v>0</v>
      </c>
      <c r="Q201" s="89"/>
    </row>
    <row r="202" spans="1:17" hidden="1">
      <c r="A202" s="18" t="s">
        <v>278</v>
      </c>
      <c r="B202" s="4"/>
      <c r="C202" s="4"/>
      <c r="D202" s="4"/>
      <c r="E202" s="4"/>
      <c r="F202" s="4"/>
      <c r="G202" s="4"/>
      <c r="H202" s="58"/>
      <c r="I202" s="5"/>
      <c r="J202" s="5"/>
      <c r="K202" s="5"/>
      <c r="L202" s="5"/>
      <c r="M202" s="5"/>
      <c r="N202" s="5"/>
      <c r="O202" s="5"/>
      <c r="P202" s="5"/>
      <c r="Q202" s="4"/>
    </row>
    <row r="203" spans="1:17" hidden="1">
      <c r="A203" s="4"/>
      <c r="B203" s="4" t="s">
        <v>312</v>
      </c>
      <c r="C203" s="4"/>
      <c r="D203" s="4"/>
      <c r="E203" s="4"/>
      <c r="F203" s="4"/>
      <c r="G203" s="4"/>
      <c r="H203" s="58"/>
      <c r="I203" s="9">
        <f t="shared" ref="I203" si="145">+L151</f>
        <v>687.56</v>
      </c>
      <c r="J203" s="4"/>
      <c r="K203" s="9">
        <v>48.64</v>
      </c>
      <c r="L203" s="9">
        <f>+I203+J203-K203</f>
        <v>638.91999999999996</v>
      </c>
      <c r="M203" s="9"/>
      <c r="N203" s="9">
        <f>+M203</f>
        <v>0</v>
      </c>
      <c r="O203" s="9"/>
      <c r="P203" s="9"/>
      <c r="Q203" s="4"/>
    </row>
    <row r="204" spans="1:17" hidden="1">
      <c r="A204" s="89"/>
      <c r="B204" s="89"/>
      <c r="C204" s="89"/>
      <c r="D204" s="89"/>
      <c r="E204" s="89"/>
      <c r="F204" s="89"/>
      <c r="G204" s="89"/>
      <c r="H204" s="90"/>
      <c r="I204" s="29">
        <f>+I203</f>
        <v>687.56</v>
      </c>
      <c r="J204" s="29">
        <f t="shared" ref="J204:P204" si="146">+J203</f>
        <v>0</v>
      </c>
      <c r="K204" s="29">
        <f t="shared" si="146"/>
        <v>48.64</v>
      </c>
      <c r="L204" s="29">
        <f t="shared" si="146"/>
        <v>638.91999999999996</v>
      </c>
      <c r="M204" s="29">
        <f t="shared" si="146"/>
        <v>0</v>
      </c>
      <c r="N204" s="29">
        <f t="shared" si="146"/>
        <v>0</v>
      </c>
      <c r="O204" s="29">
        <f t="shared" si="146"/>
        <v>0</v>
      </c>
      <c r="P204" s="29">
        <f t="shared" si="146"/>
        <v>0</v>
      </c>
      <c r="Q204" s="89"/>
    </row>
    <row r="205" spans="1:17" hidden="1">
      <c r="A205" s="4"/>
      <c r="B205" s="4" t="s">
        <v>383</v>
      </c>
      <c r="C205" s="4"/>
      <c r="D205" s="4"/>
      <c r="E205" s="4"/>
      <c r="F205" s="4"/>
      <c r="G205" s="4"/>
      <c r="H205" s="58"/>
      <c r="I205" s="9">
        <f t="shared" ref="I205" si="147">+L153</f>
        <v>0</v>
      </c>
      <c r="J205" s="4"/>
      <c r="K205" s="4"/>
      <c r="L205" s="9">
        <f>+I205+J205-K205</f>
        <v>0</v>
      </c>
      <c r="M205" s="4"/>
      <c r="N205" s="9">
        <f>+M205</f>
        <v>0</v>
      </c>
      <c r="O205" s="9"/>
      <c r="P205" s="9"/>
      <c r="Q205" s="4"/>
    </row>
    <row r="206" spans="1:17" hidden="1">
      <c r="A206" s="89"/>
      <c r="B206" s="89"/>
      <c r="C206" s="89"/>
      <c r="D206" s="89"/>
      <c r="E206" s="89"/>
      <c r="F206" s="89"/>
      <c r="G206" s="89"/>
      <c r="H206" s="90"/>
      <c r="I206" s="29">
        <f>+I205</f>
        <v>0</v>
      </c>
      <c r="J206" s="29">
        <f t="shared" ref="J206" si="148">+J205</f>
        <v>0</v>
      </c>
      <c r="K206" s="29">
        <f t="shared" ref="K206" si="149">+K205</f>
        <v>0</v>
      </c>
      <c r="L206" s="29">
        <f t="shared" ref="L206" si="150">+L205</f>
        <v>0</v>
      </c>
      <c r="M206" s="29">
        <f t="shared" ref="M206" si="151">+M205</f>
        <v>0</v>
      </c>
      <c r="N206" s="29">
        <f t="shared" ref="N206" si="152">+N205</f>
        <v>0</v>
      </c>
      <c r="O206" s="29">
        <f t="shared" ref="O206" si="153">+O205</f>
        <v>0</v>
      </c>
      <c r="P206" s="29">
        <f t="shared" ref="P206" si="154">+P205</f>
        <v>0</v>
      </c>
      <c r="Q206" s="89"/>
    </row>
    <row r="207" spans="1:17" hidden="1">
      <c r="A207" s="89"/>
      <c r="B207" s="89"/>
      <c r="C207" s="89"/>
      <c r="D207" s="89"/>
      <c r="E207" s="89"/>
      <c r="F207" s="89"/>
      <c r="G207" s="89"/>
      <c r="H207" s="90"/>
      <c r="I207" s="29">
        <f>+I206+I204+I201+I198</f>
        <v>687.56</v>
      </c>
      <c r="J207" s="29">
        <f t="shared" ref="J207" si="155">+J206+J204+J201+J198</f>
        <v>0</v>
      </c>
      <c r="K207" s="29">
        <f t="shared" ref="K207" si="156">+K206+K204+K201+K198</f>
        <v>48.64</v>
      </c>
      <c r="L207" s="29">
        <f t="shared" ref="L207" si="157">+L206+L204+L201+L198</f>
        <v>638.91999999999996</v>
      </c>
      <c r="M207" s="29">
        <f t="shared" ref="M207" si="158">+M206+M204+M201+M198</f>
        <v>0</v>
      </c>
      <c r="N207" s="29">
        <f t="shared" ref="N207" si="159">+N206+N204+N201+N198</f>
        <v>0</v>
      </c>
      <c r="O207" s="29">
        <f t="shared" ref="O207" si="160">+O206+O204+O201+O198</f>
        <v>0</v>
      </c>
      <c r="P207" s="29">
        <f t="shared" ref="P207" si="161">+P206+P204+P201+P198</f>
        <v>0</v>
      </c>
      <c r="Q207" s="89"/>
    </row>
    <row r="208" spans="1:17" hidden="1">
      <c r="A208" s="28"/>
      <c r="B208" s="28"/>
      <c r="C208" s="28"/>
      <c r="D208" s="28"/>
      <c r="E208" s="28"/>
      <c r="F208" s="28"/>
      <c r="G208" s="28"/>
      <c r="H208" s="91"/>
      <c r="I208" s="29">
        <f>+I207+I194</f>
        <v>3810.3900000000008</v>
      </c>
      <c r="J208" s="29">
        <f t="shared" ref="J208" si="162">+J207+J194</f>
        <v>1654.72</v>
      </c>
      <c r="K208" s="29">
        <f t="shared" ref="K208" si="163">+K207+K194</f>
        <v>297.63000000000005</v>
      </c>
      <c r="L208" s="29">
        <f t="shared" ref="L208" si="164">+L207+L194</f>
        <v>5167.4800000000005</v>
      </c>
      <c r="M208" s="29">
        <f t="shared" ref="M208" si="165">+M207+M194</f>
        <v>0</v>
      </c>
      <c r="N208" s="29">
        <f t="shared" ref="N208" si="166">+N207+N194</f>
        <v>0</v>
      </c>
      <c r="O208" s="29">
        <f t="shared" ref="O208" si="167">+O207+O194</f>
        <v>0</v>
      </c>
      <c r="P208" s="29">
        <f t="shared" ref="P208" si="168">+P207+P194</f>
        <v>0</v>
      </c>
      <c r="Q208" s="28"/>
    </row>
    <row r="209" spans="1:17" hidden="1">
      <c r="A209" s="287" t="s">
        <v>272</v>
      </c>
      <c r="B209" s="287"/>
      <c r="C209" s="306" t="s">
        <v>273</v>
      </c>
      <c r="D209" s="306"/>
      <c r="E209" s="306"/>
      <c r="F209" s="306"/>
      <c r="G209" s="306"/>
      <c r="H209" s="306"/>
      <c r="I209" s="306"/>
      <c r="J209" s="306"/>
      <c r="K209" s="306"/>
      <c r="L209" s="306"/>
      <c r="M209" s="306"/>
      <c r="N209" s="306"/>
      <c r="O209" s="306"/>
      <c r="P209" s="306"/>
      <c r="Q209" s="306"/>
    </row>
    <row r="210" spans="1:17" ht="18" hidden="1" customHeight="1">
      <c r="A210" s="304" t="s">
        <v>389</v>
      </c>
      <c r="B210" s="304"/>
      <c r="C210" s="138"/>
      <c r="D210" s="198"/>
      <c r="E210" s="198"/>
      <c r="F210" s="198"/>
      <c r="G210" s="198"/>
      <c r="H210" s="199"/>
      <c r="I210" s="198"/>
      <c r="J210" s="198"/>
      <c r="K210" s="198"/>
      <c r="L210" s="198"/>
      <c r="M210" s="198"/>
      <c r="N210" s="305" t="s">
        <v>467</v>
      </c>
      <c r="O210" s="305"/>
      <c r="P210" s="305"/>
      <c r="Q210" s="198"/>
    </row>
    <row r="211" spans="1:17" ht="56.25" hidden="1">
      <c r="A211" s="111" t="s">
        <v>248</v>
      </c>
      <c r="B211" s="111" t="s">
        <v>302</v>
      </c>
      <c r="C211" s="111" t="s">
        <v>274</v>
      </c>
      <c r="D211" s="111" t="s">
        <v>251</v>
      </c>
      <c r="E211" s="111" t="s">
        <v>275</v>
      </c>
      <c r="F211" s="111" t="s">
        <v>257</v>
      </c>
      <c r="G211" s="111" t="s">
        <v>301</v>
      </c>
      <c r="H211" s="112" t="s">
        <v>258</v>
      </c>
      <c r="I211" s="111" t="s">
        <v>259</v>
      </c>
      <c r="J211" s="111" t="s">
        <v>260</v>
      </c>
      <c r="K211" s="111" t="s">
        <v>261</v>
      </c>
      <c r="L211" s="111" t="s">
        <v>262</v>
      </c>
      <c r="M211" s="111" t="s">
        <v>263</v>
      </c>
      <c r="N211" s="111" t="s">
        <v>264</v>
      </c>
      <c r="O211" s="111" t="s">
        <v>265</v>
      </c>
      <c r="P211" s="111" t="s">
        <v>266</v>
      </c>
      <c r="Q211" s="111" t="s">
        <v>101</v>
      </c>
    </row>
    <row r="212" spans="1:17" ht="15.75" hidden="1">
      <c r="A212" s="92" t="s">
        <v>283</v>
      </c>
      <c r="B212" s="4"/>
      <c r="C212" s="4"/>
      <c r="D212" s="4"/>
      <c r="E212" s="4"/>
      <c r="F212" s="4"/>
      <c r="G212" s="4"/>
      <c r="H212" s="58"/>
      <c r="I212" s="5"/>
      <c r="J212" s="5"/>
      <c r="K212" s="5"/>
      <c r="L212" s="5"/>
      <c r="M212" s="5"/>
      <c r="N212" s="5"/>
      <c r="O212" s="5"/>
      <c r="P212" s="5"/>
      <c r="Q212" s="4"/>
    </row>
    <row r="213" spans="1:17" hidden="1">
      <c r="A213" s="18" t="s">
        <v>276</v>
      </c>
      <c r="B213" s="4"/>
      <c r="C213" s="4"/>
      <c r="D213" s="4"/>
      <c r="E213" s="4"/>
      <c r="F213" s="4"/>
      <c r="G213" s="4"/>
      <c r="H213" s="58"/>
      <c r="I213" s="5"/>
      <c r="J213" s="5"/>
      <c r="K213" s="5"/>
      <c r="L213" s="5"/>
      <c r="M213" s="5"/>
      <c r="N213" s="5"/>
      <c r="O213" s="5"/>
      <c r="P213" s="5"/>
      <c r="Q213" s="4"/>
    </row>
    <row r="214" spans="1:17" hidden="1">
      <c r="A214" s="4"/>
      <c r="B214" s="4"/>
      <c r="C214" s="4"/>
      <c r="D214" s="4"/>
      <c r="E214" s="4"/>
      <c r="F214" s="4"/>
      <c r="G214" s="4"/>
      <c r="H214" s="58"/>
      <c r="I214" s="9">
        <f>+L162</f>
        <v>0</v>
      </c>
      <c r="J214" s="4"/>
      <c r="K214" s="4"/>
      <c r="L214" s="9">
        <f>+I214+J214-K214</f>
        <v>0</v>
      </c>
      <c r="M214" s="4"/>
      <c r="N214" s="9">
        <f>+M214</f>
        <v>0</v>
      </c>
      <c r="O214" s="9"/>
      <c r="P214" s="9"/>
      <c r="Q214" s="4"/>
    </row>
    <row r="215" spans="1:17" hidden="1">
      <c r="A215" s="89"/>
      <c r="B215" s="89"/>
      <c r="C215" s="89"/>
      <c r="D215" s="89"/>
      <c r="E215" s="89"/>
      <c r="F215" s="89"/>
      <c r="G215" s="89"/>
      <c r="H215" s="90"/>
      <c r="I215" s="29">
        <f>+I214</f>
        <v>0</v>
      </c>
      <c r="J215" s="29">
        <f t="shared" ref="J215:P215" si="169">+J214</f>
        <v>0</v>
      </c>
      <c r="K215" s="29">
        <f t="shared" si="169"/>
        <v>0</v>
      </c>
      <c r="L215" s="29">
        <f t="shared" si="169"/>
        <v>0</v>
      </c>
      <c r="M215" s="29">
        <f t="shared" si="169"/>
        <v>0</v>
      </c>
      <c r="N215" s="29">
        <f t="shared" si="169"/>
        <v>0</v>
      </c>
      <c r="O215" s="29">
        <f t="shared" si="169"/>
        <v>0</v>
      </c>
      <c r="P215" s="29">
        <f t="shared" si="169"/>
        <v>0</v>
      </c>
      <c r="Q215" s="89"/>
    </row>
    <row r="216" spans="1:17" hidden="1">
      <c r="A216" s="18" t="s">
        <v>277</v>
      </c>
      <c r="B216" s="4"/>
      <c r="C216" s="4"/>
      <c r="D216" s="4"/>
      <c r="E216" s="4"/>
      <c r="F216" s="4"/>
      <c r="G216" s="4"/>
      <c r="H216" s="58"/>
      <c r="I216" s="5"/>
      <c r="J216" s="5"/>
      <c r="K216" s="5"/>
      <c r="L216" s="5"/>
      <c r="M216" s="5"/>
      <c r="N216" s="5"/>
      <c r="O216" s="5"/>
      <c r="P216" s="5"/>
      <c r="Q216" s="4"/>
    </row>
    <row r="217" spans="1:17" hidden="1">
      <c r="A217" s="4"/>
      <c r="B217" s="4"/>
      <c r="C217" s="4"/>
      <c r="D217" s="4"/>
      <c r="E217" s="4"/>
      <c r="F217" s="4"/>
      <c r="G217" s="4"/>
      <c r="H217" s="58"/>
      <c r="I217" s="9">
        <f>+L165</f>
        <v>0</v>
      </c>
      <c r="J217" s="4"/>
      <c r="K217" s="4"/>
      <c r="L217" s="9">
        <f>+I217+J217-K217</f>
        <v>0</v>
      </c>
      <c r="M217" s="4"/>
      <c r="N217" s="9">
        <f>+M217</f>
        <v>0</v>
      </c>
      <c r="O217" s="9"/>
      <c r="P217" s="9"/>
      <c r="Q217" s="4"/>
    </row>
    <row r="218" spans="1:17" hidden="1">
      <c r="A218" s="89"/>
      <c r="B218" s="89"/>
      <c r="C218" s="89"/>
      <c r="D218" s="89"/>
      <c r="E218" s="89"/>
      <c r="F218" s="89"/>
      <c r="G218" s="89"/>
      <c r="H218" s="90"/>
      <c r="I218" s="29">
        <f>+I217</f>
        <v>0</v>
      </c>
      <c r="J218" s="29">
        <f t="shared" ref="J218:P218" si="170">+J217</f>
        <v>0</v>
      </c>
      <c r="K218" s="29">
        <f t="shared" si="170"/>
        <v>0</v>
      </c>
      <c r="L218" s="29">
        <f t="shared" si="170"/>
        <v>0</v>
      </c>
      <c r="M218" s="29">
        <f t="shared" si="170"/>
        <v>0</v>
      </c>
      <c r="N218" s="29">
        <f t="shared" si="170"/>
        <v>0</v>
      </c>
      <c r="O218" s="29">
        <f t="shared" si="170"/>
        <v>0</v>
      </c>
      <c r="P218" s="29">
        <f t="shared" si="170"/>
        <v>0</v>
      </c>
      <c r="Q218" s="89"/>
    </row>
    <row r="219" spans="1:17" hidden="1">
      <c r="A219" s="18" t="s">
        <v>278</v>
      </c>
      <c r="B219" s="4"/>
      <c r="C219" s="4"/>
      <c r="D219" s="4"/>
      <c r="E219" s="4"/>
      <c r="F219" s="4"/>
      <c r="G219" s="4"/>
      <c r="H219" s="58"/>
      <c r="I219" s="5"/>
      <c r="J219" s="5"/>
      <c r="K219" s="5"/>
      <c r="L219" s="5"/>
      <c r="M219" s="5"/>
      <c r="N219" s="5"/>
      <c r="O219" s="5"/>
      <c r="P219" s="5"/>
      <c r="Q219" s="4"/>
    </row>
    <row r="220" spans="1:17" hidden="1">
      <c r="A220" s="4"/>
      <c r="B220" s="4"/>
      <c r="C220" s="4"/>
      <c r="D220" s="4"/>
      <c r="E220" s="4"/>
      <c r="F220" s="4"/>
      <c r="G220" s="4"/>
      <c r="H220" s="58"/>
      <c r="I220" s="9">
        <f>+L168</f>
        <v>0</v>
      </c>
      <c r="J220" s="4"/>
      <c r="K220" s="4"/>
      <c r="L220" s="9">
        <f>+I220+J220-K220</f>
        <v>0</v>
      </c>
      <c r="M220" s="4"/>
      <c r="N220" s="9">
        <f>+M220</f>
        <v>0</v>
      </c>
      <c r="O220" s="9"/>
      <c r="P220" s="9"/>
      <c r="Q220" s="4"/>
    </row>
    <row r="221" spans="1:17" hidden="1">
      <c r="A221" s="89"/>
      <c r="B221" s="89"/>
      <c r="C221" s="89"/>
      <c r="D221" s="89"/>
      <c r="E221" s="89"/>
      <c r="F221" s="89"/>
      <c r="G221" s="89"/>
      <c r="H221" s="90"/>
      <c r="I221" s="29">
        <f>+I220</f>
        <v>0</v>
      </c>
      <c r="J221" s="29">
        <f t="shared" ref="J221:P221" si="171">+J220</f>
        <v>0</v>
      </c>
      <c r="K221" s="29">
        <f t="shared" si="171"/>
        <v>0</v>
      </c>
      <c r="L221" s="29">
        <f t="shared" si="171"/>
        <v>0</v>
      </c>
      <c r="M221" s="29">
        <f t="shared" si="171"/>
        <v>0</v>
      </c>
      <c r="N221" s="29">
        <f t="shared" si="171"/>
        <v>0</v>
      </c>
      <c r="O221" s="29">
        <f t="shared" si="171"/>
        <v>0</v>
      </c>
      <c r="P221" s="29">
        <f t="shared" si="171"/>
        <v>0</v>
      </c>
      <c r="Q221" s="89"/>
    </row>
    <row r="222" spans="1:17" hidden="1">
      <c r="A222" s="18" t="s">
        <v>279</v>
      </c>
      <c r="B222" s="4"/>
      <c r="C222" s="4"/>
      <c r="D222" s="4"/>
      <c r="E222" s="4"/>
      <c r="F222" s="4"/>
      <c r="G222" s="4"/>
      <c r="H222" s="58"/>
      <c r="I222" s="4"/>
      <c r="J222" s="4"/>
      <c r="K222" s="4"/>
      <c r="L222" s="4"/>
      <c r="M222" s="4"/>
      <c r="N222" s="4"/>
      <c r="O222" s="4"/>
      <c r="P222" s="4"/>
      <c r="Q222" s="4"/>
    </row>
    <row r="223" spans="1:17" hidden="1">
      <c r="A223" s="4"/>
      <c r="B223" s="4" t="s">
        <v>280</v>
      </c>
      <c r="C223" s="4"/>
      <c r="D223" s="4"/>
      <c r="E223" s="4"/>
      <c r="F223" s="4"/>
      <c r="G223" s="4"/>
      <c r="H223" s="58"/>
      <c r="I223" s="9">
        <f t="shared" ref="I223:I238" si="172">+L171</f>
        <v>2707.41</v>
      </c>
      <c r="J223" s="9">
        <v>563.53</v>
      </c>
      <c r="K223" s="4">
        <v>155.13</v>
      </c>
      <c r="L223" s="163">
        <f t="shared" ref="L223:L227" si="173">+I223+J223-K223</f>
        <v>3115.8099999999995</v>
      </c>
      <c r="M223" s="9"/>
      <c r="N223" s="9">
        <f t="shared" ref="N223:N244" si="174">+M223</f>
        <v>0</v>
      </c>
      <c r="O223" s="9"/>
      <c r="P223" s="9"/>
      <c r="Q223" s="4"/>
    </row>
    <row r="224" spans="1:17" hidden="1">
      <c r="A224" s="4"/>
      <c r="B224" s="4" t="s">
        <v>281</v>
      </c>
      <c r="C224" s="4"/>
      <c r="D224" s="4"/>
      <c r="E224" s="4"/>
      <c r="F224" s="4"/>
      <c r="G224" s="4"/>
      <c r="H224" s="58"/>
      <c r="I224" s="9">
        <f t="shared" si="172"/>
        <v>1469.17</v>
      </c>
      <c r="J224" s="9">
        <v>1761.47</v>
      </c>
      <c r="K224" s="4">
        <v>139.04</v>
      </c>
      <c r="L224" s="163">
        <f t="shared" si="173"/>
        <v>3091.6000000000004</v>
      </c>
      <c r="M224" s="4"/>
      <c r="N224" s="9">
        <f t="shared" si="174"/>
        <v>0</v>
      </c>
      <c r="O224" s="9"/>
      <c r="P224" s="9"/>
      <c r="Q224" s="4"/>
    </row>
    <row r="225" spans="1:17" hidden="1">
      <c r="A225" s="4"/>
      <c r="B225" s="4" t="s">
        <v>285</v>
      </c>
      <c r="C225" s="4"/>
      <c r="D225" s="4"/>
      <c r="E225" s="4"/>
      <c r="F225" s="4"/>
      <c r="G225" s="4"/>
      <c r="H225" s="58"/>
      <c r="I225" s="9">
        <f t="shared" si="172"/>
        <v>0.8400000000000003</v>
      </c>
      <c r="J225" s="9"/>
      <c r="K225" s="4">
        <v>0.84</v>
      </c>
      <c r="L225" s="163">
        <f t="shared" si="173"/>
        <v>0</v>
      </c>
      <c r="M225" s="4"/>
      <c r="N225" s="9">
        <f t="shared" si="174"/>
        <v>0</v>
      </c>
      <c r="O225" s="9"/>
      <c r="P225" s="9"/>
      <c r="Q225" s="4"/>
    </row>
    <row r="226" spans="1:17" hidden="1">
      <c r="A226" s="4"/>
      <c r="B226" s="4" t="s">
        <v>286</v>
      </c>
      <c r="C226" s="4"/>
      <c r="D226" s="4"/>
      <c r="E226" s="4"/>
      <c r="F226" s="4"/>
      <c r="G226" s="4"/>
      <c r="H226" s="58"/>
      <c r="I226" s="9">
        <f t="shared" si="172"/>
        <v>0</v>
      </c>
      <c r="J226" s="9"/>
      <c r="K226" s="9">
        <v>0</v>
      </c>
      <c r="L226" s="163">
        <f t="shared" si="173"/>
        <v>0</v>
      </c>
      <c r="M226" s="4"/>
      <c r="N226" s="9">
        <f t="shared" si="174"/>
        <v>0</v>
      </c>
      <c r="O226" s="9"/>
      <c r="P226" s="9"/>
      <c r="Q226" s="4"/>
    </row>
    <row r="227" spans="1:17" hidden="1">
      <c r="A227" s="4"/>
      <c r="B227" s="4" t="s">
        <v>287</v>
      </c>
      <c r="C227" s="4"/>
      <c r="D227" s="4"/>
      <c r="E227" s="4"/>
      <c r="F227" s="4"/>
      <c r="G227" s="4"/>
      <c r="H227" s="58"/>
      <c r="I227" s="9">
        <f t="shared" si="172"/>
        <v>47.7</v>
      </c>
      <c r="J227" s="9"/>
      <c r="K227" s="4">
        <v>7.14</v>
      </c>
      <c r="L227" s="163">
        <f t="shared" si="173"/>
        <v>40.56</v>
      </c>
      <c r="M227" s="4"/>
      <c r="N227" s="9">
        <f t="shared" si="174"/>
        <v>0</v>
      </c>
      <c r="O227" s="9"/>
      <c r="P227" s="9"/>
      <c r="Q227" s="4"/>
    </row>
    <row r="228" spans="1:17" hidden="1">
      <c r="A228" s="4"/>
      <c r="B228" s="4" t="s">
        <v>371</v>
      </c>
      <c r="C228" s="4"/>
      <c r="D228" s="4"/>
      <c r="E228" s="4"/>
      <c r="F228" s="4"/>
      <c r="G228" s="4"/>
      <c r="H228" s="58"/>
      <c r="I228" s="9">
        <f t="shared" si="172"/>
        <v>7.6</v>
      </c>
      <c r="J228" s="9"/>
      <c r="K228" s="4">
        <v>7.6</v>
      </c>
      <c r="L228" s="163">
        <f>+I228+J228-K228</f>
        <v>0</v>
      </c>
      <c r="M228" s="4"/>
      <c r="N228" s="9">
        <f t="shared" si="174"/>
        <v>0</v>
      </c>
      <c r="O228" s="9"/>
      <c r="P228" s="9"/>
      <c r="Q228" s="4"/>
    </row>
    <row r="229" spans="1:17" hidden="1">
      <c r="A229" s="4"/>
      <c r="B229" s="4" t="s">
        <v>288</v>
      </c>
      <c r="C229" s="4"/>
      <c r="D229" s="4"/>
      <c r="E229" s="4"/>
      <c r="F229" s="4"/>
      <c r="G229" s="4"/>
      <c r="H229" s="58"/>
      <c r="I229" s="9">
        <f t="shared" si="172"/>
        <v>0</v>
      </c>
      <c r="J229" s="9"/>
      <c r="K229" s="4"/>
      <c r="L229" s="163">
        <f t="shared" ref="L229:L242" si="175">+I229+J229-K229</f>
        <v>0</v>
      </c>
      <c r="M229" s="4"/>
      <c r="N229" s="9">
        <f t="shared" si="174"/>
        <v>0</v>
      </c>
      <c r="O229" s="9"/>
      <c r="P229" s="9"/>
      <c r="Q229" s="4"/>
    </row>
    <row r="230" spans="1:17" hidden="1">
      <c r="A230" s="4"/>
      <c r="B230" s="4" t="s">
        <v>289</v>
      </c>
      <c r="C230" s="4"/>
      <c r="D230" s="4"/>
      <c r="E230" s="4"/>
      <c r="F230" s="4"/>
      <c r="G230" s="4"/>
      <c r="H230" s="58"/>
      <c r="I230" s="9">
        <f t="shared" si="172"/>
        <v>8.1700000000000017</v>
      </c>
      <c r="J230" s="9"/>
      <c r="K230" s="4">
        <v>1.34</v>
      </c>
      <c r="L230" s="163">
        <f t="shared" si="175"/>
        <v>6.8300000000000018</v>
      </c>
      <c r="M230" s="4"/>
      <c r="N230" s="9">
        <f t="shared" si="174"/>
        <v>0</v>
      </c>
      <c r="O230" s="9"/>
      <c r="P230" s="9"/>
      <c r="Q230" s="4"/>
    </row>
    <row r="231" spans="1:17" hidden="1">
      <c r="A231" s="4"/>
      <c r="B231" s="4" t="s">
        <v>290</v>
      </c>
      <c r="C231" s="4"/>
      <c r="D231" s="4"/>
      <c r="E231" s="4"/>
      <c r="F231" s="4"/>
      <c r="G231" s="4"/>
      <c r="H231" s="58"/>
      <c r="I231" s="9">
        <f t="shared" si="172"/>
        <v>15.130000000000003</v>
      </c>
      <c r="J231" s="9"/>
      <c r="K231" s="4">
        <v>15.13</v>
      </c>
      <c r="L231" s="163">
        <f t="shared" si="175"/>
        <v>0</v>
      </c>
      <c r="M231" s="4"/>
      <c r="N231" s="9">
        <f t="shared" si="174"/>
        <v>0</v>
      </c>
      <c r="O231" s="9"/>
      <c r="P231" s="9"/>
      <c r="Q231" s="4"/>
    </row>
    <row r="232" spans="1:17" hidden="1">
      <c r="A232" s="4"/>
      <c r="B232" s="4" t="s">
        <v>291</v>
      </c>
      <c r="C232" s="4"/>
      <c r="D232" s="4"/>
      <c r="E232" s="4"/>
      <c r="F232" s="4"/>
      <c r="G232" s="4"/>
      <c r="H232" s="58"/>
      <c r="I232" s="9">
        <f t="shared" si="172"/>
        <v>56.440000000000012</v>
      </c>
      <c r="J232" s="9"/>
      <c r="K232" s="4">
        <v>32.340000000000003</v>
      </c>
      <c r="L232" s="163">
        <f t="shared" si="175"/>
        <v>24.100000000000009</v>
      </c>
      <c r="M232" s="9"/>
      <c r="N232" s="9">
        <f t="shared" si="174"/>
        <v>0</v>
      </c>
      <c r="O232" s="9"/>
      <c r="P232" s="9"/>
      <c r="Q232" s="4"/>
    </row>
    <row r="233" spans="1:17" hidden="1">
      <c r="A233" s="4"/>
      <c r="B233" s="4" t="s">
        <v>292</v>
      </c>
      <c r="C233" s="4"/>
      <c r="D233" s="4"/>
      <c r="E233" s="4"/>
      <c r="F233" s="4"/>
      <c r="G233" s="4"/>
      <c r="H233" s="58"/>
      <c r="I233" s="9">
        <f t="shared" si="172"/>
        <v>0</v>
      </c>
      <c r="J233" s="9"/>
      <c r="K233" s="4"/>
      <c r="L233" s="163">
        <f t="shared" si="175"/>
        <v>0</v>
      </c>
      <c r="M233" s="4"/>
      <c r="N233" s="9">
        <f t="shared" si="174"/>
        <v>0</v>
      </c>
      <c r="O233" s="9"/>
      <c r="P233" s="9"/>
      <c r="Q233" s="4"/>
    </row>
    <row r="234" spans="1:17" hidden="1">
      <c r="A234" s="4"/>
      <c r="B234" s="4" t="s">
        <v>293</v>
      </c>
      <c r="C234" s="4"/>
      <c r="D234" s="4"/>
      <c r="E234" s="4"/>
      <c r="F234" s="4"/>
      <c r="G234" s="4"/>
      <c r="H234" s="58"/>
      <c r="I234" s="9">
        <f t="shared" si="172"/>
        <v>12.5</v>
      </c>
      <c r="J234" s="9"/>
      <c r="K234" s="4">
        <v>5.48</v>
      </c>
      <c r="L234" s="163">
        <f t="shared" si="175"/>
        <v>7.02</v>
      </c>
      <c r="M234" s="4"/>
      <c r="N234" s="9">
        <f t="shared" si="174"/>
        <v>0</v>
      </c>
      <c r="O234" s="9"/>
      <c r="P234" s="9"/>
      <c r="Q234" s="4"/>
    </row>
    <row r="235" spans="1:17" hidden="1">
      <c r="A235" s="4"/>
      <c r="B235" s="4" t="s">
        <v>294</v>
      </c>
      <c r="C235" s="4"/>
      <c r="D235" s="4"/>
      <c r="E235" s="4"/>
      <c r="F235" s="4"/>
      <c r="G235" s="4"/>
      <c r="H235" s="58"/>
      <c r="I235" s="9">
        <f t="shared" si="172"/>
        <v>6.0399999999999991</v>
      </c>
      <c r="J235" s="9"/>
      <c r="K235" s="4">
        <v>6.04</v>
      </c>
      <c r="L235" s="163">
        <f t="shared" si="175"/>
        <v>0</v>
      </c>
      <c r="M235" s="4"/>
      <c r="N235" s="9">
        <f t="shared" si="174"/>
        <v>0</v>
      </c>
      <c r="O235" s="9"/>
      <c r="P235" s="9"/>
      <c r="Q235" s="4"/>
    </row>
    <row r="236" spans="1:17" hidden="1">
      <c r="A236" s="4"/>
      <c r="B236" s="4" t="s">
        <v>295</v>
      </c>
      <c r="C236" s="4"/>
      <c r="D236" s="4"/>
      <c r="E236" s="4"/>
      <c r="F236" s="4"/>
      <c r="G236" s="4"/>
      <c r="H236" s="58"/>
      <c r="I236" s="9">
        <f t="shared" si="172"/>
        <v>6.76</v>
      </c>
      <c r="J236" s="9"/>
      <c r="K236" s="4">
        <v>6.76</v>
      </c>
      <c r="L236" s="163">
        <f t="shared" si="175"/>
        <v>0</v>
      </c>
      <c r="M236" s="4"/>
      <c r="N236" s="9">
        <f t="shared" si="174"/>
        <v>0</v>
      </c>
      <c r="O236" s="9"/>
      <c r="P236" s="9"/>
      <c r="Q236" s="4"/>
    </row>
    <row r="237" spans="1:17" hidden="1">
      <c r="A237" s="4"/>
      <c r="B237" s="4" t="s">
        <v>296</v>
      </c>
      <c r="C237" s="4"/>
      <c r="D237" s="4"/>
      <c r="E237" s="4"/>
      <c r="F237" s="4"/>
      <c r="G237" s="4"/>
      <c r="H237" s="58"/>
      <c r="I237" s="9">
        <f t="shared" si="172"/>
        <v>2.5799999999999992</v>
      </c>
      <c r="J237" s="9"/>
      <c r="K237" s="4">
        <v>2.58</v>
      </c>
      <c r="L237" s="163">
        <f t="shared" si="175"/>
        <v>0</v>
      </c>
      <c r="M237" s="4"/>
      <c r="N237" s="9">
        <f t="shared" si="174"/>
        <v>0</v>
      </c>
      <c r="O237" s="9"/>
      <c r="P237" s="9"/>
      <c r="Q237" s="4"/>
    </row>
    <row r="238" spans="1:17" hidden="1">
      <c r="A238" s="4"/>
      <c r="B238" s="4" t="s">
        <v>297</v>
      </c>
      <c r="C238" s="4"/>
      <c r="D238" s="4"/>
      <c r="E238" s="4"/>
      <c r="F238" s="4"/>
      <c r="G238" s="4"/>
      <c r="H238" s="58"/>
      <c r="I238" s="9">
        <f t="shared" si="172"/>
        <v>2.87</v>
      </c>
      <c r="J238" s="9"/>
      <c r="K238" s="4">
        <v>2.87</v>
      </c>
      <c r="L238" s="163">
        <f t="shared" si="175"/>
        <v>0</v>
      </c>
      <c r="M238" s="4"/>
      <c r="N238" s="9">
        <f t="shared" si="174"/>
        <v>0</v>
      </c>
      <c r="O238" s="9"/>
      <c r="P238" s="9"/>
      <c r="Q238" s="4"/>
    </row>
    <row r="239" spans="1:17" hidden="1">
      <c r="A239" s="4"/>
      <c r="B239" s="200" t="s">
        <v>469</v>
      </c>
      <c r="C239" s="4"/>
      <c r="D239" s="4"/>
      <c r="E239" s="4"/>
      <c r="F239" s="4"/>
      <c r="G239" s="4"/>
      <c r="H239" s="58"/>
      <c r="I239" s="9">
        <f t="shared" ref="I239" si="176">+L187</f>
        <v>0</v>
      </c>
      <c r="J239" s="9"/>
      <c r="K239" s="4">
        <v>0</v>
      </c>
      <c r="L239" s="163">
        <f t="shared" si="175"/>
        <v>0</v>
      </c>
      <c r="M239" s="4"/>
      <c r="N239" s="9">
        <f t="shared" si="174"/>
        <v>0</v>
      </c>
      <c r="O239" s="9"/>
      <c r="P239" s="9"/>
      <c r="Q239" s="4"/>
    </row>
    <row r="240" spans="1:17" hidden="1">
      <c r="A240" s="4"/>
      <c r="B240" s="4" t="s">
        <v>298</v>
      </c>
      <c r="C240" s="4"/>
      <c r="D240" s="4"/>
      <c r="E240" s="4"/>
      <c r="F240" s="4"/>
      <c r="G240" s="4"/>
      <c r="H240" s="58"/>
      <c r="I240" s="9">
        <f t="shared" ref="I240:I244" si="177">+L188</f>
        <v>43.790000000000006</v>
      </c>
      <c r="J240" s="9"/>
      <c r="K240" s="4">
        <v>8.34</v>
      </c>
      <c r="L240" s="163">
        <f t="shared" si="175"/>
        <v>35.450000000000003</v>
      </c>
      <c r="M240" s="4"/>
      <c r="N240" s="9">
        <f t="shared" si="174"/>
        <v>0</v>
      </c>
      <c r="O240" s="9"/>
      <c r="P240" s="9"/>
      <c r="Q240" s="4"/>
    </row>
    <row r="241" spans="1:17" hidden="1">
      <c r="A241" s="4"/>
      <c r="B241" s="4" t="s">
        <v>299</v>
      </c>
      <c r="C241" s="4"/>
      <c r="D241" s="4"/>
      <c r="E241" s="4"/>
      <c r="F241" s="4"/>
      <c r="G241" s="4"/>
      <c r="H241" s="58"/>
      <c r="I241" s="9">
        <f t="shared" si="177"/>
        <v>74.27</v>
      </c>
      <c r="J241" s="9"/>
      <c r="K241" s="4">
        <v>6.34</v>
      </c>
      <c r="L241" s="163">
        <f t="shared" si="175"/>
        <v>67.929999999999993</v>
      </c>
      <c r="M241" s="4"/>
      <c r="N241" s="9">
        <f t="shared" si="174"/>
        <v>0</v>
      </c>
      <c r="O241" s="9"/>
      <c r="P241" s="9"/>
      <c r="Q241" s="4"/>
    </row>
    <row r="242" spans="1:17" hidden="1">
      <c r="A242" s="4"/>
      <c r="B242" s="4" t="s">
        <v>300</v>
      </c>
      <c r="C242" s="4"/>
      <c r="D242" s="4"/>
      <c r="E242" s="4"/>
      <c r="F242" s="4"/>
      <c r="G242" s="4"/>
      <c r="H242" s="58"/>
      <c r="I242" s="9">
        <f t="shared" si="177"/>
        <v>17.420000000000002</v>
      </c>
      <c r="J242" s="9"/>
      <c r="K242" s="4">
        <v>17.420000000000002</v>
      </c>
      <c r="L242" s="163">
        <f t="shared" si="175"/>
        <v>0</v>
      </c>
      <c r="M242" s="4"/>
      <c r="N242" s="9">
        <f t="shared" si="174"/>
        <v>0</v>
      </c>
      <c r="O242" s="9"/>
      <c r="P242" s="9"/>
      <c r="Q242" s="4"/>
    </row>
    <row r="243" spans="1:17" hidden="1">
      <c r="A243" s="4"/>
      <c r="B243" s="4" t="s">
        <v>372</v>
      </c>
      <c r="C243" s="4"/>
      <c r="D243" s="4"/>
      <c r="E243" s="4"/>
      <c r="F243" s="4"/>
      <c r="G243" s="4"/>
      <c r="H243" s="58"/>
      <c r="I243" s="9">
        <f t="shared" si="177"/>
        <v>22.169999999999998</v>
      </c>
      <c r="J243" s="9"/>
      <c r="K243" s="4">
        <v>2.86</v>
      </c>
      <c r="L243" s="163">
        <f>+I243+J243-K243</f>
        <v>19.309999999999999</v>
      </c>
      <c r="M243" s="4"/>
      <c r="N243" s="9">
        <f t="shared" si="174"/>
        <v>0</v>
      </c>
      <c r="O243" s="9"/>
      <c r="P243" s="9"/>
      <c r="Q243" s="4"/>
    </row>
    <row r="244" spans="1:17" hidden="1">
      <c r="A244" s="4"/>
      <c r="B244" s="4" t="s">
        <v>410</v>
      </c>
      <c r="C244" s="4"/>
      <c r="D244" s="4"/>
      <c r="E244" s="4"/>
      <c r="F244" s="4"/>
      <c r="G244" s="4"/>
      <c r="H244" s="58"/>
      <c r="I244" s="9">
        <f t="shared" si="177"/>
        <v>27.700000000000003</v>
      </c>
      <c r="J244" s="9">
        <v>0.18</v>
      </c>
      <c r="K244" s="9">
        <v>3.1</v>
      </c>
      <c r="L244" s="163">
        <f>+I244+J244-K244</f>
        <v>24.78</v>
      </c>
      <c r="M244" s="4"/>
      <c r="N244" s="9">
        <f t="shared" si="174"/>
        <v>0</v>
      </c>
      <c r="O244" s="9"/>
      <c r="P244" s="9"/>
      <c r="Q244" s="4"/>
    </row>
    <row r="245" spans="1:17" hidden="1">
      <c r="A245" s="89"/>
      <c r="B245" s="89"/>
      <c r="C245" s="89"/>
      <c r="D245" s="89"/>
      <c r="E245" s="89"/>
      <c r="F245" s="89"/>
      <c r="G245" s="89"/>
      <c r="H245" s="90"/>
      <c r="I245" s="29">
        <f>SUM(I223:I244)</f>
        <v>4528.5600000000004</v>
      </c>
      <c r="J245" s="29">
        <f t="shared" ref="J245:P245" si="178">SUM(J223:J244)</f>
        <v>2325.1799999999998</v>
      </c>
      <c r="K245" s="29">
        <f t="shared" si="178"/>
        <v>420.34999999999997</v>
      </c>
      <c r="L245" s="29">
        <f t="shared" si="178"/>
        <v>6433.3900000000012</v>
      </c>
      <c r="M245" s="29">
        <f t="shared" si="178"/>
        <v>0</v>
      </c>
      <c r="N245" s="29">
        <f t="shared" si="178"/>
        <v>0</v>
      </c>
      <c r="O245" s="29">
        <f t="shared" si="178"/>
        <v>0</v>
      </c>
      <c r="P245" s="29">
        <f t="shared" si="178"/>
        <v>0</v>
      </c>
      <c r="Q245" s="89"/>
    </row>
    <row r="246" spans="1:17" hidden="1">
      <c r="A246" s="28"/>
      <c r="B246" s="28"/>
      <c r="C246" s="28"/>
      <c r="D246" s="28"/>
      <c r="E246" s="28"/>
      <c r="F246" s="28"/>
      <c r="G246" s="28"/>
      <c r="H246" s="91"/>
      <c r="I246" s="29">
        <f t="shared" ref="I246" si="179">+I215+I218+I221+I245</f>
        <v>4528.5600000000004</v>
      </c>
      <c r="J246" s="29">
        <f t="shared" ref="J246" si="180">+J215+J218+J221+J245</f>
        <v>2325.1799999999998</v>
      </c>
      <c r="K246" s="29">
        <f t="shared" ref="K246" si="181">+K215+K218+K221+K245</f>
        <v>420.34999999999997</v>
      </c>
      <c r="L246" s="29">
        <f t="shared" ref="L246" si="182">+L215+L218+L221+L245</f>
        <v>6433.3900000000012</v>
      </c>
      <c r="M246" s="29">
        <f t="shared" ref="M246" si="183">+M215+M218+M221+M245</f>
        <v>0</v>
      </c>
      <c r="N246" s="29">
        <f t="shared" ref="N246" si="184">+N215+N218+N221+N245</f>
        <v>0</v>
      </c>
      <c r="O246" s="29">
        <f t="shared" ref="O246" si="185">+O215+O218+O221+O245</f>
        <v>0</v>
      </c>
      <c r="P246" s="29">
        <f t="shared" ref="P246" si="186">+P215+P218+P221+P245</f>
        <v>0</v>
      </c>
      <c r="Q246" s="28"/>
    </row>
    <row r="247" spans="1:17" ht="15.75" hidden="1">
      <c r="A247" s="92" t="s">
        <v>282</v>
      </c>
      <c r="B247" s="4"/>
      <c r="C247" s="4"/>
      <c r="D247" s="4"/>
      <c r="E247" s="4"/>
      <c r="F247" s="4"/>
      <c r="G247" s="4"/>
      <c r="H247" s="58"/>
      <c r="I247" s="4"/>
      <c r="J247" s="4"/>
      <c r="K247" s="4"/>
      <c r="L247" s="4"/>
      <c r="M247" s="4"/>
      <c r="N247" s="4"/>
      <c r="O247" s="4"/>
      <c r="P247" s="4"/>
      <c r="Q247" s="4"/>
    </row>
    <row r="248" spans="1:17" hidden="1">
      <c r="A248" s="18" t="s">
        <v>276</v>
      </c>
      <c r="B248" s="4"/>
      <c r="C248" s="4"/>
      <c r="D248" s="4"/>
      <c r="E248" s="4"/>
      <c r="F248" s="4"/>
      <c r="G248" s="4"/>
      <c r="H248" s="58"/>
      <c r="I248" s="5"/>
      <c r="J248" s="5"/>
      <c r="K248" s="5"/>
      <c r="L248" s="5"/>
      <c r="M248" s="5"/>
      <c r="N248" s="5"/>
      <c r="O248" s="5"/>
      <c r="P248" s="5"/>
      <c r="Q248" s="4"/>
    </row>
    <row r="249" spans="1:17" hidden="1">
      <c r="A249" s="18"/>
      <c r="B249" s="4"/>
      <c r="C249" s="4"/>
      <c r="D249" s="4"/>
      <c r="E249" s="4"/>
      <c r="F249" s="4"/>
      <c r="G249" s="4"/>
      <c r="H249" s="58"/>
      <c r="I249" s="9">
        <f t="shared" ref="I249" si="187">+L197</f>
        <v>0</v>
      </c>
      <c r="J249" s="5"/>
      <c r="K249" s="36"/>
      <c r="L249" s="9">
        <f>+I249+J249-K249</f>
        <v>0</v>
      </c>
      <c r="M249" s="4"/>
      <c r="N249" s="9">
        <f>+M249</f>
        <v>0</v>
      </c>
      <c r="O249" s="9"/>
      <c r="P249" s="9"/>
      <c r="Q249" s="4"/>
    </row>
    <row r="250" spans="1:17" hidden="1">
      <c r="A250" s="89"/>
      <c r="B250" s="89"/>
      <c r="C250" s="89"/>
      <c r="D250" s="89"/>
      <c r="E250" s="89"/>
      <c r="F250" s="89"/>
      <c r="G250" s="89"/>
      <c r="H250" s="90"/>
      <c r="I250" s="29">
        <f t="shared" ref="I250" si="188">SUM(I249:I249)</f>
        <v>0</v>
      </c>
      <c r="J250" s="29">
        <f t="shared" ref="J250" si="189">SUM(J249:J249)</f>
        <v>0</v>
      </c>
      <c r="K250" s="29">
        <f t="shared" ref="K250" si="190">SUM(K249:K249)</f>
        <v>0</v>
      </c>
      <c r="L250" s="29">
        <f t="shared" ref="L250" si="191">SUM(L249:L249)</f>
        <v>0</v>
      </c>
      <c r="M250" s="29">
        <f t="shared" ref="M250" si="192">SUM(M249:M249)</f>
        <v>0</v>
      </c>
      <c r="N250" s="29">
        <f t="shared" ref="N250" si="193">SUM(N249:N249)</f>
        <v>0</v>
      </c>
      <c r="O250" s="29">
        <f t="shared" ref="O250" si="194">SUM(O249:O249)</f>
        <v>0</v>
      </c>
      <c r="P250" s="29">
        <f t="shared" ref="P250" si="195">SUM(P249:P249)</f>
        <v>0</v>
      </c>
      <c r="Q250" s="89"/>
    </row>
    <row r="251" spans="1:17" hidden="1">
      <c r="A251" s="18" t="s">
        <v>277</v>
      </c>
      <c r="B251" s="4"/>
      <c r="C251" s="4"/>
      <c r="D251" s="4"/>
      <c r="E251" s="4"/>
      <c r="F251" s="4"/>
      <c r="G251" s="4"/>
      <c r="H251" s="58"/>
      <c r="I251" s="5"/>
      <c r="J251" s="5"/>
      <c r="K251" s="5"/>
      <c r="L251" s="5"/>
      <c r="M251" s="5"/>
      <c r="N251" s="5"/>
      <c r="O251" s="5"/>
      <c r="P251" s="5"/>
      <c r="Q251" s="4"/>
    </row>
    <row r="252" spans="1:17" hidden="1">
      <c r="A252" s="4"/>
      <c r="B252" s="4"/>
      <c r="C252" s="4"/>
      <c r="D252" s="4"/>
      <c r="E252" s="4"/>
      <c r="F252" s="4"/>
      <c r="G252" s="4"/>
      <c r="H252" s="58"/>
      <c r="I252" s="9">
        <f t="shared" ref="I252" si="196">+L200</f>
        <v>0</v>
      </c>
      <c r="J252" s="4"/>
      <c r="K252" s="4"/>
      <c r="L252" s="9">
        <f>+I252+J252-K252</f>
        <v>0</v>
      </c>
      <c r="M252" s="4"/>
      <c r="N252" s="9">
        <f>+M252</f>
        <v>0</v>
      </c>
      <c r="O252" s="9"/>
      <c r="P252" s="9"/>
      <c r="Q252" s="4"/>
    </row>
    <row r="253" spans="1:17" hidden="1">
      <c r="A253" s="89"/>
      <c r="B253" s="89"/>
      <c r="C253" s="89"/>
      <c r="D253" s="89"/>
      <c r="E253" s="89"/>
      <c r="F253" s="89"/>
      <c r="G253" s="89"/>
      <c r="H253" s="90"/>
      <c r="I253" s="29">
        <f>+I252</f>
        <v>0</v>
      </c>
      <c r="J253" s="29">
        <f t="shared" ref="J253:P253" si="197">+J252</f>
        <v>0</v>
      </c>
      <c r="K253" s="29">
        <f t="shared" si="197"/>
        <v>0</v>
      </c>
      <c r="L253" s="29">
        <f t="shared" si="197"/>
        <v>0</v>
      </c>
      <c r="M253" s="29">
        <f t="shared" si="197"/>
        <v>0</v>
      </c>
      <c r="N253" s="29">
        <f t="shared" si="197"/>
        <v>0</v>
      </c>
      <c r="O253" s="29">
        <f t="shared" si="197"/>
        <v>0</v>
      </c>
      <c r="P253" s="29">
        <f t="shared" si="197"/>
        <v>0</v>
      </c>
      <c r="Q253" s="89"/>
    </row>
    <row r="254" spans="1:17" hidden="1">
      <c r="A254" s="18" t="s">
        <v>278</v>
      </c>
      <c r="B254" s="4"/>
      <c r="C254" s="4"/>
      <c r="D254" s="4"/>
      <c r="E254" s="4"/>
      <c r="F254" s="4"/>
      <c r="G254" s="4"/>
      <c r="H254" s="58"/>
      <c r="I254" s="5"/>
      <c r="J254" s="5"/>
      <c r="K254" s="5"/>
      <c r="L254" s="5"/>
      <c r="M254" s="5"/>
      <c r="N254" s="5"/>
      <c r="O254" s="5"/>
      <c r="P254" s="5"/>
      <c r="Q254" s="4"/>
    </row>
    <row r="255" spans="1:17" hidden="1">
      <c r="A255" s="4"/>
      <c r="B255" s="4" t="s">
        <v>312</v>
      </c>
      <c r="C255" s="4"/>
      <c r="D255" s="4"/>
      <c r="E255" s="4"/>
      <c r="F255" s="4"/>
      <c r="G255" s="4"/>
      <c r="H255" s="58"/>
      <c r="I255" s="9">
        <f t="shared" ref="I255" si="198">+L203</f>
        <v>638.91999999999996</v>
      </c>
      <c r="J255" s="4"/>
      <c r="K255" s="9">
        <v>48.64</v>
      </c>
      <c r="L255" s="9">
        <f>+I255+J255-K255</f>
        <v>590.28</v>
      </c>
      <c r="M255" s="9"/>
      <c r="N255" s="9">
        <f>+M255</f>
        <v>0</v>
      </c>
      <c r="O255" s="9"/>
      <c r="P255" s="9"/>
      <c r="Q255" s="4"/>
    </row>
    <row r="256" spans="1:17" hidden="1">
      <c r="A256" s="89"/>
      <c r="B256" s="89"/>
      <c r="C256" s="89"/>
      <c r="D256" s="89"/>
      <c r="E256" s="89"/>
      <c r="F256" s="89"/>
      <c r="G256" s="89"/>
      <c r="H256" s="90"/>
      <c r="I256" s="29">
        <f>+I255</f>
        <v>638.91999999999996</v>
      </c>
      <c r="J256" s="29">
        <f t="shared" ref="J256:P256" si="199">+J255</f>
        <v>0</v>
      </c>
      <c r="K256" s="29">
        <f t="shared" si="199"/>
        <v>48.64</v>
      </c>
      <c r="L256" s="29">
        <f t="shared" si="199"/>
        <v>590.28</v>
      </c>
      <c r="M256" s="29">
        <f t="shared" si="199"/>
        <v>0</v>
      </c>
      <c r="N256" s="29">
        <f t="shared" si="199"/>
        <v>0</v>
      </c>
      <c r="O256" s="29">
        <f t="shared" si="199"/>
        <v>0</v>
      </c>
      <c r="P256" s="29">
        <f t="shared" si="199"/>
        <v>0</v>
      </c>
      <c r="Q256" s="89"/>
    </row>
    <row r="257" spans="1:17" hidden="1">
      <c r="A257" s="4"/>
      <c r="B257" s="4" t="s">
        <v>383</v>
      </c>
      <c r="C257" s="4"/>
      <c r="D257" s="4"/>
      <c r="E257" s="4"/>
      <c r="F257" s="4"/>
      <c r="G257" s="4"/>
      <c r="H257" s="58"/>
      <c r="I257" s="9">
        <f t="shared" ref="I257" si="200">+L205</f>
        <v>0</v>
      </c>
      <c r="J257" s="4"/>
      <c r="K257" s="4"/>
      <c r="L257" s="9">
        <f>+I257+J257-K257</f>
        <v>0</v>
      </c>
      <c r="M257" s="4"/>
      <c r="N257" s="9">
        <f>+M257</f>
        <v>0</v>
      </c>
      <c r="O257" s="9"/>
      <c r="P257" s="9"/>
      <c r="Q257" s="4"/>
    </row>
    <row r="258" spans="1:17" hidden="1">
      <c r="A258" s="89"/>
      <c r="B258" s="89"/>
      <c r="C258" s="89"/>
      <c r="D258" s="89"/>
      <c r="E258" s="89"/>
      <c r="F258" s="89"/>
      <c r="G258" s="89"/>
      <c r="H258" s="90"/>
      <c r="I258" s="29">
        <f>+I257</f>
        <v>0</v>
      </c>
      <c r="J258" s="29">
        <f t="shared" ref="J258" si="201">+J257</f>
        <v>0</v>
      </c>
      <c r="K258" s="29">
        <f t="shared" ref="K258" si="202">+K257</f>
        <v>0</v>
      </c>
      <c r="L258" s="29">
        <f t="shared" ref="L258" si="203">+L257</f>
        <v>0</v>
      </c>
      <c r="M258" s="29">
        <f t="shared" ref="M258" si="204">+M257</f>
        <v>0</v>
      </c>
      <c r="N258" s="29">
        <f t="shared" ref="N258" si="205">+N257</f>
        <v>0</v>
      </c>
      <c r="O258" s="29">
        <f t="shared" ref="O258" si="206">+O257</f>
        <v>0</v>
      </c>
      <c r="P258" s="29">
        <f t="shared" ref="P258" si="207">+P257</f>
        <v>0</v>
      </c>
      <c r="Q258" s="89"/>
    </row>
    <row r="259" spans="1:17" hidden="1">
      <c r="A259" s="89"/>
      <c r="B259" s="89"/>
      <c r="C259" s="89"/>
      <c r="D259" s="89"/>
      <c r="E259" s="89"/>
      <c r="F259" s="89"/>
      <c r="G259" s="89"/>
      <c r="H259" s="90"/>
      <c r="I259" s="29">
        <f>+I258+I256+I253+I250</f>
        <v>638.91999999999996</v>
      </c>
      <c r="J259" s="29">
        <f t="shared" ref="J259" si="208">+J258+J256+J253+J250</f>
        <v>0</v>
      </c>
      <c r="K259" s="29">
        <f t="shared" ref="K259" si="209">+K258+K256+K253+K250</f>
        <v>48.64</v>
      </c>
      <c r="L259" s="29">
        <f t="shared" ref="L259" si="210">+L258+L256+L253+L250</f>
        <v>590.28</v>
      </c>
      <c r="M259" s="29">
        <f t="shared" ref="M259" si="211">+M258+M256+M253+M250</f>
        <v>0</v>
      </c>
      <c r="N259" s="29">
        <f t="shared" ref="N259" si="212">+N258+N256+N253+N250</f>
        <v>0</v>
      </c>
      <c r="O259" s="29">
        <f t="shared" ref="O259" si="213">+O258+O256+O253+O250</f>
        <v>0</v>
      </c>
      <c r="P259" s="29">
        <f t="shared" ref="P259" si="214">+P258+P256+P253+P250</f>
        <v>0</v>
      </c>
      <c r="Q259" s="89"/>
    </row>
    <row r="260" spans="1:17" hidden="1">
      <c r="A260" s="28"/>
      <c r="B260" s="28"/>
      <c r="C260" s="28"/>
      <c r="D260" s="28"/>
      <c r="E260" s="28"/>
      <c r="F260" s="28"/>
      <c r="G260" s="28"/>
      <c r="H260" s="91"/>
      <c r="I260" s="29">
        <f>+I259+I246</f>
        <v>5167.4800000000005</v>
      </c>
      <c r="J260" s="29">
        <f t="shared" ref="J260" si="215">+J259+J246</f>
        <v>2325.1799999999998</v>
      </c>
      <c r="K260" s="29">
        <f t="shared" ref="K260" si="216">+K259+K246</f>
        <v>468.98999999999995</v>
      </c>
      <c r="L260" s="29">
        <f t="shared" ref="L260" si="217">+L259+L246</f>
        <v>7023.670000000001</v>
      </c>
      <c r="M260" s="29">
        <f t="shared" ref="M260" si="218">+M259+M246</f>
        <v>0</v>
      </c>
      <c r="N260" s="29">
        <f t="shared" ref="N260" si="219">+N259+N246</f>
        <v>0</v>
      </c>
      <c r="O260" s="29">
        <f t="shared" ref="O260" si="220">+O259+O246</f>
        <v>0</v>
      </c>
      <c r="P260" s="29">
        <f t="shared" ref="P260" si="221">+P259+P246</f>
        <v>0</v>
      </c>
      <c r="Q260" s="28"/>
    </row>
    <row r="261" spans="1:17">
      <c r="A261" s="287" t="s">
        <v>272</v>
      </c>
      <c r="B261" s="287"/>
      <c r="C261" s="306" t="s">
        <v>273</v>
      </c>
      <c r="D261" s="306"/>
      <c r="E261" s="306"/>
      <c r="F261" s="306"/>
      <c r="G261" s="306"/>
      <c r="H261" s="306"/>
      <c r="I261" s="306"/>
      <c r="J261" s="306"/>
      <c r="K261" s="306"/>
      <c r="L261" s="306"/>
      <c r="M261" s="306"/>
      <c r="N261" s="306"/>
      <c r="O261" s="306"/>
      <c r="P261" s="306"/>
      <c r="Q261" s="306"/>
    </row>
    <row r="262" spans="1:17" ht="18" customHeight="1">
      <c r="A262" s="304" t="s">
        <v>506</v>
      </c>
      <c r="B262" s="304"/>
      <c r="C262" s="138"/>
      <c r="D262" s="198"/>
      <c r="E262" s="198"/>
      <c r="F262" s="198"/>
      <c r="G262" s="198"/>
      <c r="H262" s="199"/>
      <c r="I262" s="198"/>
      <c r="J262" s="198"/>
      <c r="K262" s="198"/>
      <c r="L262" s="198"/>
      <c r="M262" s="198"/>
      <c r="N262" s="305" t="s">
        <v>467</v>
      </c>
      <c r="O262" s="305"/>
      <c r="P262" s="305"/>
      <c r="Q262" s="198"/>
    </row>
    <row r="263" spans="1:17" ht="56.25">
      <c r="A263" s="111" t="s">
        <v>248</v>
      </c>
      <c r="B263" s="111" t="s">
        <v>302</v>
      </c>
      <c r="C263" s="111" t="s">
        <v>274</v>
      </c>
      <c r="D263" s="111" t="s">
        <v>251</v>
      </c>
      <c r="E263" s="111" t="s">
        <v>275</v>
      </c>
      <c r="F263" s="111" t="s">
        <v>257</v>
      </c>
      <c r="G263" s="111" t="s">
        <v>301</v>
      </c>
      <c r="H263" s="112" t="s">
        <v>258</v>
      </c>
      <c r="I263" s="111" t="s">
        <v>259</v>
      </c>
      <c r="J263" s="111" t="s">
        <v>260</v>
      </c>
      <c r="K263" s="111" t="s">
        <v>261</v>
      </c>
      <c r="L263" s="111" t="s">
        <v>262</v>
      </c>
      <c r="M263" s="111" t="s">
        <v>263</v>
      </c>
      <c r="N263" s="111" t="s">
        <v>264</v>
      </c>
      <c r="O263" s="111" t="s">
        <v>265</v>
      </c>
      <c r="P263" s="111" t="s">
        <v>266</v>
      </c>
      <c r="Q263" s="111" t="s">
        <v>101</v>
      </c>
    </row>
    <row r="264" spans="1:17" ht="15.75">
      <c r="A264" s="92" t="s">
        <v>283</v>
      </c>
      <c r="B264" s="4"/>
      <c r="C264" s="4"/>
      <c r="D264" s="4"/>
      <c r="E264" s="4"/>
      <c r="F264" s="4"/>
      <c r="G264" s="4"/>
      <c r="H264" s="58"/>
      <c r="I264" s="5"/>
      <c r="J264" s="5"/>
      <c r="K264" s="5"/>
      <c r="L264" s="5"/>
      <c r="M264" s="5"/>
      <c r="N264" s="5"/>
      <c r="O264" s="5"/>
      <c r="P264" s="5"/>
      <c r="Q264" s="4"/>
    </row>
    <row r="265" spans="1:17">
      <c r="A265" s="18" t="s">
        <v>276</v>
      </c>
      <c r="B265" s="4"/>
      <c r="C265" s="4"/>
      <c r="D265" s="4"/>
      <c r="E265" s="4"/>
      <c r="F265" s="4"/>
      <c r="G265" s="4"/>
      <c r="H265" s="58"/>
      <c r="I265" s="5"/>
      <c r="J265" s="5"/>
      <c r="K265" s="5"/>
      <c r="L265" s="5"/>
      <c r="M265" s="5"/>
      <c r="N265" s="5"/>
      <c r="O265" s="5"/>
      <c r="P265" s="5"/>
      <c r="Q265" s="4"/>
    </row>
    <row r="266" spans="1:17">
      <c r="A266" s="4"/>
      <c r="B266" s="4"/>
      <c r="C266" s="4"/>
      <c r="D266" s="4"/>
      <c r="E266" s="4"/>
      <c r="F266" s="4"/>
      <c r="G266" s="4"/>
      <c r="H266" s="58"/>
      <c r="I266" s="9">
        <f>+L214</f>
        <v>0</v>
      </c>
      <c r="J266" s="4"/>
      <c r="K266" s="4"/>
      <c r="L266" s="9">
        <f>+I266+J266-K266</f>
        <v>0</v>
      </c>
      <c r="M266" s="4"/>
      <c r="N266" s="9">
        <f>+M266</f>
        <v>0</v>
      </c>
      <c r="O266" s="9"/>
      <c r="P266" s="9"/>
      <c r="Q266" s="4"/>
    </row>
    <row r="267" spans="1:17">
      <c r="A267" s="89"/>
      <c r="B267" s="89"/>
      <c r="C267" s="89"/>
      <c r="D267" s="89"/>
      <c r="E267" s="89"/>
      <c r="F267" s="89"/>
      <c r="G267" s="89"/>
      <c r="H267" s="90"/>
      <c r="I267" s="29">
        <f>+I266</f>
        <v>0</v>
      </c>
      <c r="J267" s="29">
        <f t="shared" ref="J267:P267" si="222">+J266</f>
        <v>0</v>
      </c>
      <c r="K267" s="29">
        <f t="shared" si="222"/>
        <v>0</v>
      </c>
      <c r="L267" s="29">
        <f t="shared" si="222"/>
        <v>0</v>
      </c>
      <c r="M267" s="29">
        <f t="shared" si="222"/>
        <v>0</v>
      </c>
      <c r="N267" s="29">
        <f t="shared" si="222"/>
        <v>0</v>
      </c>
      <c r="O267" s="29">
        <f t="shared" si="222"/>
        <v>0</v>
      </c>
      <c r="P267" s="29">
        <f t="shared" si="222"/>
        <v>0</v>
      </c>
      <c r="Q267" s="89"/>
    </row>
    <row r="268" spans="1:17">
      <c r="A268" s="18" t="s">
        <v>277</v>
      </c>
      <c r="B268" s="4"/>
      <c r="C268" s="4"/>
      <c r="D268" s="4"/>
      <c r="E268" s="4"/>
      <c r="F268" s="4"/>
      <c r="G268" s="4"/>
      <c r="H268" s="58"/>
      <c r="I268" s="5"/>
      <c r="J268" s="5"/>
      <c r="K268" s="5"/>
      <c r="L268" s="5"/>
      <c r="M268" s="5"/>
      <c r="N268" s="5"/>
      <c r="O268" s="5"/>
      <c r="P268" s="5"/>
      <c r="Q268" s="4"/>
    </row>
    <row r="269" spans="1:17">
      <c r="A269" s="4"/>
      <c r="B269" s="4"/>
      <c r="C269" s="4"/>
      <c r="D269" s="4"/>
      <c r="E269" s="4"/>
      <c r="F269" s="4"/>
      <c r="G269" s="4"/>
      <c r="H269" s="58"/>
      <c r="I269" s="9">
        <f>+L217</f>
        <v>0</v>
      </c>
      <c r="J269" s="4"/>
      <c r="K269" s="4"/>
      <c r="L269" s="9">
        <f>+I269+J269-K269</f>
        <v>0</v>
      </c>
      <c r="M269" s="4"/>
      <c r="N269" s="9">
        <f>+M269</f>
        <v>0</v>
      </c>
      <c r="O269" s="9"/>
      <c r="P269" s="9"/>
      <c r="Q269" s="4"/>
    </row>
    <row r="270" spans="1:17">
      <c r="A270" s="89"/>
      <c r="B270" s="89"/>
      <c r="C270" s="89"/>
      <c r="D270" s="89"/>
      <c r="E270" s="89"/>
      <c r="F270" s="89"/>
      <c r="G270" s="89"/>
      <c r="H270" s="90"/>
      <c r="I270" s="29">
        <f>+I269</f>
        <v>0</v>
      </c>
      <c r="J270" s="29">
        <f t="shared" ref="J270:P270" si="223">+J269</f>
        <v>0</v>
      </c>
      <c r="K270" s="29">
        <f t="shared" si="223"/>
        <v>0</v>
      </c>
      <c r="L270" s="29">
        <f t="shared" si="223"/>
        <v>0</v>
      </c>
      <c r="M270" s="29">
        <f t="shared" si="223"/>
        <v>0</v>
      </c>
      <c r="N270" s="29">
        <f t="shared" si="223"/>
        <v>0</v>
      </c>
      <c r="O270" s="29">
        <f t="shared" si="223"/>
        <v>0</v>
      </c>
      <c r="P270" s="29">
        <f t="shared" si="223"/>
        <v>0</v>
      </c>
      <c r="Q270" s="89"/>
    </row>
    <row r="271" spans="1:17">
      <c r="A271" s="18" t="s">
        <v>278</v>
      </c>
      <c r="B271" s="4"/>
      <c r="C271" s="4"/>
      <c r="D271" s="4"/>
      <c r="E271" s="4"/>
      <c r="F271" s="4"/>
      <c r="G271" s="4"/>
      <c r="H271" s="58"/>
      <c r="I271" s="5"/>
      <c r="J271" s="5"/>
      <c r="K271" s="5"/>
      <c r="L271" s="5"/>
      <c r="M271" s="5"/>
      <c r="N271" s="5"/>
      <c r="O271" s="5"/>
      <c r="P271" s="5"/>
      <c r="Q271" s="4"/>
    </row>
    <row r="272" spans="1:17">
      <c r="A272" s="4"/>
      <c r="B272" s="4"/>
      <c r="C272" s="4"/>
      <c r="D272" s="4"/>
      <c r="E272" s="4"/>
      <c r="F272" s="4"/>
      <c r="G272" s="4"/>
      <c r="H272" s="58"/>
      <c r="I272" s="9">
        <f>+L220</f>
        <v>0</v>
      </c>
      <c r="J272" s="4"/>
      <c r="K272" s="4"/>
      <c r="L272" s="9">
        <f>+I272+J272-K272</f>
        <v>0</v>
      </c>
      <c r="M272" s="4"/>
      <c r="N272" s="9">
        <f>+M272</f>
        <v>0</v>
      </c>
      <c r="O272" s="9"/>
      <c r="P272" s="9"/>
      <c r="Q272" s="4"/>
    </row>
    <row r="273" spans="1:17">
      <c r="A273" s="89"/>
      <c r="B273" s="89"/>
      <c r="C273" s="89"/>
      <c r="D273" s="89"/>
      <c r="E273" s="89"/>
      <c r="F273" s="89"/>
      <c r="G273" s="89"/>
      <c r="H273" s="90"/>
      <c r="I273" s="29">
        <f>+I272</f>
        <v>0</v>
      </c>
      <c r="J273" s="29">
        <f t="shared" ref="J273:P273" si="224">+J272</f>
        <v>0</v>
      </c>
      <c r="K273" s="29">
        <f t="shared" si="224"/>
        <v>0</v>
      </c>
      <c r="L273" s="29">
        <f t="shared" si="224"/>
        <v>0</v>
      </c>
      <c r="M273" s="29">
        <f t="shared" si="224"/>
        <v>0</v>
      </c>
      <c r="N273" s="29">
        <f t="shared" si="224"/>
        <v>0</v>
      </c>
      <c r="O273" s="29">
        <f t="shared" si="224"/>
        <v>0</v>
      </c>
      <c r="P273" s="29">
        <f t="shared" si="224"/>
        <v>0</v>
      </c>
      <c r="Q273" s="89"/>
    </row>
    <row r="274" spans="1:17">
      <c r="A274" s="18" t="s">
        <v>279</v>
      </c>
      <c r="B274" s="4"/>
      <c r="C274" s="4"/>
      <c r="D274" s="4"/>
      <c r="E274" s="4"/>
      <c r="F274" s="4"/>
      <c r="G274" s="4"/>
      <c r="H274" s="58"/>
      <c r="I274" s="4"/>
      <c r="J274" s="4"/>
      <c r="K274" s="4"/>
      <c r="L274" s="4"/>
      <c r="M274" s="4"/>
      <c r="N274" s="4"/>
      <c r="O274" s="4"/>
      <c r="P274" s="4"/>
      <c r="Q274" s="4"/>
    </row>
    <row r="275" spans="1:17">
      <c r="A275" s="4"/>
      <c r="B275" s="4" t="s">
        <v>280</v>
      </c>
      <c r="C275" s="4"/>
      <c r="D275" s="4"/>
      <c r="E275" s="4"/>
      <c r="F275" s="233" t="s">
        <v>477</v>
      </c>
      <c r="G275" s="233" t="s">
        <v>483</v>
      </c>
      <c r="H275" s="233" t="s">
        <v>489</v>
      </c>
      <c r="I275" s="9">
        <f t="shared" ref="I275:I290" si="225">+L223</f>
        <v>3115.8099999999995</v>
      </c>
      <c r="J275" s="9">
        <v>716.84</v>
      </c>
      <c r="K275" s="4">
        <v>220.76</v>
      </c>
      <c r="L275" s="9">
        <f t="shared" ref="L275:L279" si="226">+I275+J275-K275</f>
        <v>3611.8899999999994</v>
      </c>
      <c r="M275" s="9">
        <v>331.57</v>
      </c>
      <c r="N275" s="9">
        <f t="shared" ref="N275:N296" si="227">+M275</f>
        <v>331.57</v>
      </c>
      <c r="O275" s="9"/>
      <c r="P275" s="9"/>
      <c r="Q275" s="4"/>
    </row>
    <row r="276" spans="1:17">
      <c r="A276" s="4"/>
      <c r="B276" s="4" t="s">
        <v>281</v>
      </c>
      <c r="C276" s="4"/>
      <c r="D276" s="4"/>
      <c r="E276" s="4"/>
      <c r="F276" s="233" t="s">
        <v>477</v>
      </c>
      <c r="G276" s="233" t="s">
        <v>484</v>
      </c>
      <c r="H276" s="233" t="s">
        <v>490</v>
      </c>
      <c r="I276" s="9">
        <f t="shared" si="225"/>
        <v>3091.6000000000004</v>
      </c>
      <c r="J276" s="9">
        <v>1920.5</v>
      </c>
      <c r="K276" s="4">
        <v>1107.02</v>
      </c>
      <c r="L276" s="9">
        <f t="shared" si="226"/>
        <v>3905.0800000000004</v>
      </c>
      <c r="M276" s="4">
        <v>250.54</v>
      </c>
      <c r="N276" s="9">
        <f t="shared" si="227"/>
        <v>250.54</v>
      </c>
      <c r="O276" s="9"/>
      <c r="P276" s="9"/>
      <c r="Q276" s="4"/>
    </row>
    <row r="277" spans="1:17">
      <c r="A277" s="4"/>
      <c r="B277" s="4" t="s">
        <v>285</v>
      </c>
      <c r="C277" s="4"/>
      <c r="D277" s="4"/>
      <c r="E277" s="4"/>
      <c r="F277" s="233" t="s">
        <v>478</v>
      </c>
      <c r="G277" s="233" t="s">
        <v>485</v>
      </c>
      <c r="H277" s="234">
        <v>0.1075</v>
      </c>
      <c r="I277" s="9">
        <f t="shared" si="225"/>
        <v>0</v>
      </c>
      <c r="J277" s="9"/>
      <c r="K277" s="4"/>
      <c r="L277" s="9">
        <f t="shared" si="226"/>
        <v>0</v>
      </c>
      <c r="M277" s="4"/>
      <c r="N277" s="9">
        <f t="shared" si="227"/>
        <v>0</v>
      </c>
      <c r="O277" s="9"/>
      <c r="P277" s="9"/>
      <c r="Q277" s="4"/>
    </row>
    <row r="278" spans="1:17">
      <c r="A278" s="4"/>
      <c r="B278" s="4" t="s">
        <v>286</v>
      </c>
      <c r="C278" s="4"/>
      <c r="D278" s="4"/>
      <c r="E278" s="4"/>
      <c r="F278" s="233" t="s">
        <v>479</v>
      </c>
      <c r="G278" s="233" t="s">
        <v>479</v>
      </c>
      <c r="H278" s="233" t="s">
        <v>479</v>
      </c>
      <c r="I278" s="9">
        <f t="shared" si="225"/>
        <v>0</v>
      </c>
      <c r="J278" s="9"/>
      <c r="K278" s="9"/>
      <c r="L278" s="9">
        <f t="shared" si="226"/>
        <v>0</v>
      </c>
      <c r="M278" s="4"/>
      <c r="N278" s="9">
        <f t="shared" si="227"/>
        <v>0</v>
      </c>
      <c r="O278" s="9"/>
      <c r="P278" s="9"/>
      <c r="Q278" s="4"/>
    </row>
    <row r="279" spans="1:17">
      <c r="A279" s="4"/>
      <c r="B279" s="4" t="s">
        <v>287</v>
      </c>
      <c r="C279" s="4"/>
      <c r="D279" s="4"/>
      <c r="E279" s="4"/>
      <c r="F279" s="233" t="s">
        <v>480</v>
      </c>
      <c r="G279" s="233" t="s">
        <v>486</v>
      </c>
      <c r="H279" s="234">
        <v>0.11</v>
      </c>
      <c r="I279" s="9">
        <f t="shared" si="225"/>
        <v>40.56</v>
      </c>
      <c r="J279" s="9"/>
      <c r="K279" s="4">
        <v>7.14</v>
      </c>
      <c r="L279" s="9">
        <f t="shared" si="226"/>
        <v>33.42</v>
      </c>
      <c r="M279" s="4">
        <v>3.46</v>
      </c>
      <c r="N279" s="9">
        <f t="shared" si="227"/>
        <v>3.46</v>
      </c>
      <c r="O279" s="9"/>
      <c r="P279" s="9"/>
      <c r="Q279" s="4"/>
    </row>
    <row r="280" spans="1:17">
      <c r="A280" s="4"/>
      <c r="B280" s="4" t="s">
        <v>371</v>
      </c>
      <c r="C280" s="4"/>
      <c r="D280" s="4"/>
      <c r="E280" s="4"/>
      <c r="F280" s="233" t="s">
        <v>480</v>
      </c>
      <c r="G280" s="233" t="s">
        <v>486</v>
      </c>
      <c r="H280" s="234">
        <v>0.1115</v>
      </c>
      <c r="I280" s="9">
        <f t="shared" si="225"/>
        <v>0</v>
      </c>
      <c r="J280" s="9"/>
      <c r="K280" s="4"/>
      <c r="L280" s="9">
        <f>+I280+J280-K280</f>
        <v>0</v>
      </c>
      <c r="M280" s="4"/>
      <c r="N280" s="9">
        <f t="shared" si="227"/>
        <v>0</v>
      </c>
      <c r="O280" s="9"/>
      <c r="P280" s="9"/>
      <c r="Q280" s="4"/>
    </row>
    <row r="281" spans="1:17">
      <c r="A281" s="4"/>
      <c r="B281" s="4" t="s">
        <v>288</v>
      </c>
      <c r="C281" s="4"/>
      <c r="D281" s="4"/>
      <c r="E281" s="4"/>
      <c r="F281" s="233" t="s">
        <v>481</v>
      </c>
      <c r="G281" s="233" t="s">
        <v>479</v>
      </c>
      <c r="H281" s="233" t="s">
        <v>479</v>
      </c>
      <c r="I281" s="9">
        <f t="shared" si="225"/>
        <v>0</v>
      </c>
      <c r="J281" s="9"/>
      <c r="K281" s="4"/>
      <c r="L281" s="9">
        <f t="shared" ref="L281:L294" si="228">+I281+J281-K281</f>
        <v>0</v>
      </c>
      <c r="M281" s="4"/>
      <c r="N281" s="9">
        <f t="shared" si="227"/>
        <v>0</v>
      </c>
      <c r="O281" s="9"/>
      <c r="P281" s="9"/>
      <c r="Q281" s="4"/>
    </row>
    <row r="282" spans="1:17">
      <c r="A282" s="4"/>
      <c r="B282" s="4" t="s">
        <v>289</v>
      </c>
      <c r="C282" s="4"/>
      <c r="D282" s="4"/>
      <c r="E282" s="4"/>
      <c r="F282" s="233" t="s">
        <v>480</v>
      </c>
      <c r="G282" s="233" t="s">
        <v>486</v>
      </c>
      <c r="H282" s="234">
        <v>9.5000000000000001E-2</v>
      </c>
      <c r="I282" s="9">
        <f t="shared" si="225"/>
        <v>6.8300000000000018</v>
      </c>
      <c r="J282" s="9"/>
      <c r="K282" s="4">
        <v>1.34</v>
      </c>
      <c r="L282" s="9">
        <f t="shared" si="228"/>
        <v>5.490000000000002</v>
      </c>
      <c r="M282" s="4">
        <v>0.56999999999999995</v>
      </c>
      <c r="N282" s="9">
        <f t="shared" si="227"/>
        <v>0.56999999999999995</v>
      </c>
      <c r="O282" s="9"/>
      <c r="P282" s="9"/>
      <c r="Q282" s="4"/>
    </row>
    <row r="283" spans="1:17">
      <c r="A283" s="4"/>
      <c r="B283" s="4" t="s">
        <v>290</v>
      </c>
      <c r="C283" s="4"/>
      <c r="D283" s="4"/>
      <c r="E283" s="4"/>
      <c r="F283" s="233" t="s">
        <v>480</v>
      </c>
      <c r="G283" s="233" t="s">
        <v>486</v>
      </c>
      <c r="H283" s="234">
        <v>0.11</v>
      </c>
      <c r="I283" s="9">
        <f t="shared" si="225"/>
        <v>0</v>
      </c>
      <c r="J283" s="9"/>
      <c r="K283" s="4"/>
      <c r="L283" s="9">
        <f t="shared" si="228"/>
        <v>0</v>
      </c>
      <c r="M283" s="4"/>
      <c r="N283" s="9">
        <f t="shared" si="227"/>
        <v>0</v>
      </c>
      <c r="O283" s="9"/>
      <c r="P283" s="9"/>
      <c r="Q283" s="4"/>
    </row>
    <row r="284" spans="1:17">
      <c r="A284" s="4"/>
      <c r="B284" s="4" t="s">
        <v>291</v>
      </c>
      <c r="C284" s="4"/>
      <c r="D284" s="4"/>
      <c r="E284" s="4"/>
      <c r="F284" s="233" t="s">
        <v>482</v>
      </c>
      <c r="G284" s="233" t="s">
        <v>486</v>
      </c>
      <c r="H284" s="234">
        <v>0.11</v>
      </c>
      <c r="I284" s="9">
        <f t="shared" si="225"/>
        <v>24.100000000000009</v>
      </c>
      <c r="J284" s="9"/>
      <c r="K284" s="9">
        <v>24.1</v>
      </c>
      <c r="L284" s="9">
        <f t="shared" si="228"/>
        <v>0</v>
      </c>
      <c r="M284" s="9">
        <v>0.8</v>
      </c>
      <c r="N284" s="9">
        <f t="shared" si="227"/>
        <v>0.8</v>
      </c>
      <c r="O284" s="9"/>
      <c r="P284" s="9"/>
      <c r="Q284" s="4"/>
    </row>
    <row r="285" spans="1:17">
      <c r="A285" s="4"/>
      <c r="B285" s="4" t="s">
        <v>292</v>
      </c>
      <c r="C285" s="4"/>
      <c r="D285" s="4"/>
      <c r="E285" s="4"/>
      <c r="F285" s="233" t="s">
        <v>480</v>
      </c>
      <c r="G285" s="233" t="s">
        <v>479</v>
      </c>
      <c r="H285" s="233" t="s">
        <v>479</v>
      </c>
      <c r="I285" s="9">
        <f t="shared" si="225"/>
        <v>0</v>
      </c>
      <c r="J285" s="9"/>
      <c r="K285" s="4"/>
      <c r="L285" s="9">
        <f t="shared" si="228"/>
        <v>0</v>
      </c>
      <c r="M285" s="4"/>
      <c r="N285" s="9">
        <f t="shared" si="227"/>
        <v>0</v>
      </c>
      <c r="O285" s="9"/>
      <c r="P285" s="9"/>
      <c r="Q285" s="4"/>
    </row>
    <row r="286" spans="1:17">
      <c r="A286" s="4"/>
      <c r="B286" s="4" t="s">
        <v>293</v>
      </c>
      <c r="C286" s="4"/>
      <c r="D286" s="4"/>
      <c r="E286" s="4"/>
      <c r="F286" s="233" t="s">
        <v>480</v>
      </c>
      <c r="G286" s="233" t="s">
        <v>487</v>
      </c>
      <c r="H286" s="234">
        <v>0.107</v>
      </c>
      <c r="I286" s="9">
        <f t="shared" si="225"/>
        <v>7.02</v>
      </c>
      <c r="J286" s="9"/>
      <c r="K286" s="4">
        <v>7.02</v>
      </c>
      <c r="L286" s="9">
        <f t="shared" si="228"/>
        <v>0</v>
      </c>
      <c r="M286" s="4">
        <v>0.15</v>
      </c>
      <c r="N286" s="9">
        <f t="shared" si="227"/>
        <v>0.15</v>
      </c>
      <c r="O286" s="9"/>
      <c r="P286" s="9"/>
      <c r="Q286" s="4"/>
    </row>
    <row r="287" spans="1:17">
      <c r="A287" s="4"/>
      <c r="B287" s="4" t="s">
        <v>294</v>
      </c>
      <c r="C287" s="4"/>
      <c r="D287" s="4"/>
      <c r="E287" s="4"/>
      <c r="F287" s="233" t="s">
        <v>480</v>
      </c>
      <c r="G287" s="233" t="s">
        <v>486</v>
      </c>
      <c r="H287" s="234">
        <v>0.1115</v>
      </c>
      <c r="I287" s="9">
        <f t="shared" si="225"/>
        <v>0</v>
      </c>
      <c r="J287" s="9"/>
      <c r="K287" s="4"/>
      <c r="L287" s="9">
        <f t="shared" si="228"/>
        <v>0</v>
      </c>
      <c r="M287" s="4"/>
      <c r="N287" s="9">
        <f t="shared" si="227"/>
        <v>0</v>
      </c>
      <c r="O287" s="9"/>
      <c r="P287" s="9"/>
      <c r="Q287" s="4"/>
    </row>
    <row r="288" spans="1:17">
      <c r="A288" s="4"/>
      <c r="B288" s="4" t="s">
        <v>295</v>
      </c>
      <c r="C288" s="4"/>
      <c r="D288" s="4"/>
      <c r="E288" s="4"/>
      <c r="F288" s="233" t="s">
        <v>480</v>
      </c>
      <c r="G288" s="233" t="s">
        <v>487</v>
      </c>
      <c r="H288" s="234">
        <v>0.1115</v>
      </c>
      <c r="I288" s="9">
        <f t="shared" si="225"/>
        <v>0</v>
      </c>
      <c r="J288" s="9"/>
      <c r="K288" s="4"/>
      <c r="L288" s="9">
        <f t="shared" si="228"/>
        <v>0</v>
      </c>
      <c r="M288" s="4"/>
      <c r="N288" s="9">
        <f t="shared" si="227"/>
        <v>0</v>
      </c>
      <c r="O288" s="9"/>
      <c r="P288" s="9"/>
      <c r="Q288" s="4"/>
    </row>
    <row r="289" spans="1:17">
      <c r="A289" s="4"/>
      <c r="B289" s="4" t="s">
        <v>296</v>
      </c>
      <c r="C289" s="4"/>
      <c r="D289" s="4"/>
      <c r="E289" s="4"/>
      <c r="F289" s="233" t="s">
        <v>480</v>
      </c>
      <c r="G289" s="233" t="s">
        <v>487</v>
      </c>
      <c r="H289" s="234">
        <v>0.1125</v>
      </c>
      <c r="I289" s="9">
        <f t="shared" si="225"/>
        <v>0</v>
      </c>
      <c r="J289" s="9"/>
      <c r="K289" s="4"/>
      <c r="L289" s="9">
        <f t="shared" si="228"/>
        <v>0</v>
      </c>
      <c r="M289" s="4"/>
      <c r="N289" s="9">
        <f t="shared" si="227"/>
        <v>0</v>
      </c>
      <c r="O289" s="9"/>
      <c r="P289" s="9"/>
      <c r="Q289" s="4"/>
    </row>
    <row r="290" spans="1:17">
      <c r="A290" s="4"/>
      <c r="B290" s="4" t="s">
        <v>297</v>
      </c>
      <c r="C290" s="4"/>
      <c r="D290" s="4"/>
      <c r="E290" s="4"/>
      <c r="F290" s="233" t="s">
        <v>480</v>
      </c>
      <c r="G290" s="233" t="s">
        <v>486</v>
      </c>
      <c r="H290" s="234">
        <v>0.1115</v>
      </c>
      <c r="I290" s="9">
        <f t="shared" si="225"/>
        <v>0</v>
      </c>
      <c r="J290" s="9"/>
      <c r="K290" s="4"/>
      <c r="L290" s="9">
        <f t="shared" si="228"/>
        <v>0</v>
      </c>
      <c r="M290" s="4"/>
      <c r="N290" s="9">
        <f t="shared" si="227"/>
        <v>0</v>
      </c>
      <c r="O290" s="9"/>
      <c r="P290" s="9"/>
      <c r="Q290" s="4"/>
    </row>
    <row r="291" spans="1:17">
      <c r="A291" s="4"/>
      <c r="B291" s="200" t="s">
        <v>469</v>
      </c>
      <c r="C291" s="4"/>
      <c r="D291" s="4"/>
      <c r="E291" s="4"/>
      <c r="F291" s="233" t="s">
        <v>479</v>
      </c>
      <c r="G291" s="233" t="s">
        <v>479</v>
      </c>
      <c r="H291" s="233" t="s">
        <v>479</v>
      </c>
      <c r="I291" s="9">
        <f t="shared" ref="I291" si="229">+L239</f>
        <v>0</v>
      </c>
      <c r="J291" s="9"/>
      <c r="K291" s="4"/>
      <c r="L291" s="9">
        <f t="shared" si="228"/>
        <v>0</v>
      </c>
      <c r="M291" s="4"/>
      <c r="N291" s="9">
        <f t="shared" si="227"/>
        <v>0</v>
      </c>
      <c r="O291" s="9"/>
      <c r="P291" s="9"/>
      <c r="Q291" s="4"/>
    </row>
    <row r="292" spans="1:17">
      <c r="A292" s="4"/>
      <c r="B292" s="4" t="s">
        <v>298</v>
      </c>
      <c r="C292" s="4"/>
      <c r="D292" s="4"/>
      <c r="E292" s="4"/>
      <c r="F292" s="233" t="s">
        <v>480</v>
      </c>
      <c r="G292" s="233" t="s">
        <v>486</v>
      </c>
      <c r="H292" s="234">
        <v>0.1095</v>
      </c>
      <c r="I292" s="9">
        <f t="shared" ref="I292:I296" si="230">+L240</f>
        <v>35.450000000000003</v>
      </c>
      <c r="J292" s="9"/>
      <c r="K292" s="4">
        <v>8.35</v>
      </c>
      <c r="L292" s="9">
        <f t="shared" si="228"/>
        <v>27.1</v>
      </c>
      <c r="M292" s="4">
        <v>3.46</v>
      </c>
      <c r="N292" s="9">
        <f t="shared" si="227"/>
        <v>3.46</v>
      </c>
      <c r="O292" s="9"/>
      <c r="P292" s="9"/>
      <c r="Q292" s="4"/>
    </row>
    <row r="293" spans="1:17">
      <c r="A293" s="4"/>
      <c r="B293" s="4" t="s">
        <v>299</v>
      </c>
      <c r="C293" s="4"/>
      <c r="D293" s="4"/>
      <c r="E293" s="4"/>
      <c r="F293" s="233" t="s">
        <v>477</v>
      </c>
      <c r="G293" s="233" t="s">
        <v>488</v>
      </c>
      <c r="H293" s="234">
        <v>0.1075</v>
      </c>
      <c r="I293" s="9">
        <f t="shared" si="230"/>
        <v>67.929999999999993</v>
      </c>
      <c r="J293" s="9"/>
      <c r="K293" s="4">
        <v>6.34</v>
      </c>
      <c r="L293" s="9">
        <f t="shared" si="228"/>
        <v>61.589999999999989</v>
      </c>
      <c r="M293" s="4">
        <v>6.48</v>
      </c>
      <c r="N293" s="9">
        <f t="shared" si="227"/>
        <v>6.48</v>
      </c>
      <c r="O293" s="9"/>
      <c r="P293" s="9"/>
      <c r="Q293" s="4"/>
    </row>
    <row r="294" spans="1:17">
      <c r="A294" s="4"/>
      <c r="B294" s="4" t="s">
        <v>300</v>
      </c>
      <c r="C294" s="4"/>
      <c r="D294" s="4"/>
      <c r="E294" s="4"/>
      <c r="F294" s="233" t="s">
        <v>480</v>
      </c>
      <c r="G294" s="233" t="s">
        <v>486</v>
      </c>
      <c r="H294" s="234">
        <v>0.115</v>
      </c>
      <c r="I294" s="9">
        <f t="shared" si="230"/>
        <v>0</v>
      </c>
      <c r="J294" s="9"/>
      <c r="K294" s="4"/>
      <c r="L294" s="9">
        <f t="shared" si="228"/>
        <v>0</v>
      </c>
      <c r="M294" s="4"/>
      <c r="N294" s="9">
        <f t="shared" si="227"/>
        <v>0</v>
      </c>
      <c r="O294" s="9"/>
      <c r="P294" s="9"/>
      <c r="Q294" s="4"/>
    </row>
    <row r="295" spans="1:17">
      <c r="A295" s="4"/>
      <c r="B295" s="4" t="s">
        <v>372</v>
      </c>
      <c r="C295" s="4"/>
      <c r="D295" s="4"/>
      <c r="E295" s="4"/>
      <c r="F295" s="233" t="s">
        <v>480</v>
      </c>
      <c r="G295" s="233" t="s">
        <v>487</v>
      </c>
      <c r="H295" s="234">
        <v>9.7500000000000003E-2</v>
      </c>
      <c r="I295" s="9">
        <f t="shared" si="230"/>
        <v>19.309999999999999</v>
      </c>
      <c r="J295" s="9"/>
      <c r="K295" s="9">
        <v>5.0999999999999996</v>
      </c>
      <c r="L295" s="9">
        <f>+I295+J295-K295</f>
        <v>14.209999999999999</v>
      </c>
      <c r="M295" s="4">
        <v>1.58</v>
      </c>
      <c r="N295" s="9">
        <f t="shared" si="227"/>
        <v>1.58</v>
      </c>
      <c r="O295" s="9"/>
      <c r="P295" s="9"/>
      <c r="Q295" s="4"/>
    </row>
    <row r="296" spans="1:17">
      <c r="A296" s="4"/>
      <c r="B296" s="4" t="s">
        <v>410</v>
      </c>
      <c r="C296" s="4"/>
      <c r="D296" s="4"/>
      <c r="E296" s="4"/>
      <c r="F296" s="233" t="s">
        <v>480</v>
      </c>
      <c r="G296" s="233" t="s">
        <v>486</v>
      </c>
      <c r="H296" s="234">
        <v>0.11</v>
      </c>
      <c r="I296" s="9">
        <f t="shared" si="230"/>
        <v>24.78</v>
      </c>
      <c r="J296" s="9"/>
      <c r="K296" s="4">
        <v>3.11</v>
      </c>
      <c r="L296" s="9">
        <f>+I296+J296-K296</f>
        <v>21.67</v>
      </c>
      <c r="M296" s="4">
        <v>2.74</v>
      </c>
      <c r="N296" s="9">
        <f t="shared" si="227"/>
        <v>2.74</v>
      </c>
      <c r="O296" s="9"/>
      <c r="P296" s="9"/>
      <c r="Q296" s="4"/>
    </row>
    <row r="297" spans="1:17">
      <c r="A297" s="89"/>
      <c r="B297" s="89"/>
      <c r="C297" s="89"/>
      <c r="D297" s="89"/>
      <c r="E297" s="89"/>
      <c r="F297" s="89"/>
      <c r="G297" s="89"/>
      <c r="H297" s="90"/>
      <c r="I297" s="29">
        <f>SUM(I275:I296)</f>
        <v>6433.3900000000012</v>
      </c>
      <c r="J297" s="29">
        <f t="shared" ref="J297:P297" si="231">SUM(J275:J296)</f>
        <v>2637.34</v>
      </c>
      <c r="K297" s="29">
        <f t="shared" si="231"/>
        <v>1390.2799999999995</v>
      </c>
      <c r="L297" s="29">
        <f t="shared" si="231"/>
        <v>7680.45</v>
      </c>
      <c r="M297" s="29">
        <f t="shared" si="231"/>
        <v>601.35000000000014</v>
      </c>
      <c r="N297" s="29">
        <f t="shared" si="231"/>
        <v>601.35000000000014</v>
      </c>
      <c r="O297" s="29">
        <f t="shared" si="231"/>
        <v>0</v>
      </c>
      <c r="P297" s="29">
        <f t="shared" si="231"/>
        <v>0</v>
      </c>
      <c r="Q297" s="89"/>
    </row>
    <row r="298" spans="1:17">
      <c r="A298" s="28"/>
      <c r="B298" s="28"/>
      <c r="C298" s="28"/>
      <c r="D298" s="28"/>
      <c r="E298" s="28"/>
      <c r="F298" s="28"/>
      <c r="G298" s="28"/>
      <c r="H298" s="91"/>
      <c r="I298" s="29">
        <f t="shared" ref="I298" si="232">+I267+I270+I273+I297</f>
        <v>6433.3900000000012</v>
      </c>
      <c r="J298" s="29">
        <f t="shared" ref="J298" si="233">+J267+J270+J273+J297</f>
        <v>2637.34</v>
      </c>
      <c r="K298" s="29">
        <f t="shared" ref="K298" si="234">+K267+K270+K273+K297</f>
        <v>1390.2799999999995</v>
      </c>
      <c r="L298" s="29">
        <f t="shared" ref="L298" si="235">+L267+L270+L273+L297</f>
        <v>7680.45</v>
      </c>
      <c r="M298" s="29">
        <f t="shared" ref="M298" si="236">+M267+M270+M273+M297</f>
        <v>601.35000000000014</v>
      </c>
      <c r="N298" s="29">
        <f t="shared" ref="N298" si="237">+N267+N270+N273+N297</f>
        <v>601.35000000000014</v>
      </c>
      <c r="O298" s="29">
        <f t="shared" ref="O298" si="238">+O267+O270+O273+O297</f>
        <v>0</v>
      </c>
      <c r="P298" s="29">
        <f t="shared" ref="P298" si="239">+P267+P270+P273+P297</f>
        <v>0</v>
      </c>
      <c r="Q298" s="28"/>
    </row>
    <row r="299" spans="1:17" ht="15.75">
      <c r="A299" s="92" t="s">
        <v>282</v>
      </c>
      <c r="B299" s="4"/>
      <c r="C299" s="4"/>
      <c r="D299" s="4"/>
      <c r="E299" s="4"/>
      <c r="F299" s="4"/>
      <c r="G299" s="4"/>
      <c r="H299" s="58"/>
      <c r="I299" s="4"/>
      <c r="J299" s="4"/>
      <c r="K299" s="4"/>
      <c r="L299" s="4"/>
      <c r="M299" s="4"/>
      <c r="N299" s="4"/>
      <c r="O299" s="4"/>
      <c r="P299" s="4"/>
      <c r="Q299" s="4"/>
    </row>
    <row r="300" spans="1:17">
      <c r="A300" s="18" t="s">
        <v>276</v>
      </c>
      <c r="B300" s="4"/>
      <c r="C300" s="4"/>
      <c r="D300" s="4"/>
      <c r="E300" s="4"/>
      <c r="F300" s="4"/>
      <c r="G300" s="4"/>
      <c r="H300" s="58"/>
      <c r="I300" s="5"/>
      <c r="J300" s="5"/>
      <c r="K300" s="5"/>
      <c r="L300" s="5"/>
      <c r="M300" s="5"/>
      <c r="N300" s="5"/>
      <c r="O300" s="5"/>
      <c r="P300" s="5"/>
      <c r="Q300" s="4"/>
    </row>
    <row r="301" spans="1:17">
      <c r="A301" s="18"/>
      <c r="B301" s="4"/>
      <c r="C301" s="4"/>
      <c r="D301" s="4"/>
      <c r="E301" s="4"/>
      <c r="F301" s="4"/>
      <c r="G301" s="4"/>
      <c r="H301" s="58"/>
      <c r="I301" s="9">
        <f t="shared" ref="I301" si="240">+L249</f>
        <v>0</v>
      </c>
      <c r="J301" s="5"/>
      <c r="K301" s="36"/>
      <c r="L301" s="9">
        <f>+I301+J301-K301</f>
        <v>0</v>
      </c>
      <c r="M301" s="4"/>
      <c r="N301" s="9">
        <f>+M301</f>
        <v>0</v>
      </c>
      <c r="O301" s="9"/>
      <c r="P301" s="9"/>
      <c r="Q301" s="4"/>
    </row>
    <row r="302" spans="1:17">
      <c r="A302" s="89"/>
      <c r="B302" s="89"/>
      <c r="C302" s="89"/>
      <c r="D302" s="89"/>
      <c r="E302" s="89"/>
      <c r="F302" s="89"/>
      <c r="G302" s="89"/>
      <c r="H302" s="90"/>
      <c r="I302" s="29">
        <f t="shared" ref="I302" si="241">SUM(I301:I301)</f>
        <v>0</v>
      </c>
      <c r="J302" s="29">
        <f t="shared" ref="J302" si="242">SUM(J301:J301)</f>
        <v>0</v>
      </c>
      <c r="K302" s="29">
        <f t="shared" ref="K302" si="243">SUM(K301:K301)</f>
        <v>0</v>
      </c>
      <c r="L302" s="29">
        <f t="shared" ref="L302" si="244">SUM(L301:L301)</f>
        <v>0</v>
      </c>
      <c r="M302" s="29">
        <f t="shared" ref="M302" si="245">SUM(M301:M301)</f>
        <v>0</v>
      </c>
      <c r="N302" s="29">
        <f t="shared" ref="N302" si="246">SUM(N301:N301)</f>
        <v>0</v>
      </c>
      <c r="O302" s="29">
        <f t="shared" ref="O302" si="247">SUM(O301:O301)</f>
        <v>0</v>
      </c>
      <c r="P302" s="29">
        <f t="shared" ref="P302" si="248">SUM(P301:P301)</f>
        <v>0</v>
      </c>
      <c r="Q302" s="89"/>
    </row>
    <row r="303" spans="1:17">
      <c r="A303" s="18" t="s">
        <v>277</v>
      </c>
      <c r="B303" s="4"/>
      <c r="C303" s="4"/>
      <c r="D303" s="4"/>
      <c r="E303" s="4"/>
      <c r="F303" s="4"/>
      <c r="G303" s="4"/>
      <c r="H303" s="58"/>
      <c r="I303" s="5"/>
      <c r="J303" s="5"/>
      <c r="K303" s="5"/>
      <c r="L303" s="5"/>
      <c r="M303" s="5"/>
      <c r="N303" s="5"/>
      <c r="O303" s="5"/>
      <c r="P303" s="5"/>
      <c r="Q303" s="4"/>
    </row>
    <row r="304" spans="1:17">
      <c r="A304" s="4"/>
      <c r="B304" s="4"/>
      <c r="C304" s="4"/>
      <c r="D304" s="4"/>
      <c r="E304" s="4"/>
      <c r="F304" s="4"/>
      <c r="G304" s="4"/>
      <c r="H304" s="58"/>
      <c r="I304" s="9">
        <f t="shared" ref="I304" si="249">+L252</f>
        <v>0</v>
      </c>
      <c r="J304" s="4"/>
      <c r="K304" s="4"/>
      <c r="L304" s="9">
        <f>+I304+J304-K304</f>
        <v>0</v>
      </c>
      <c r="M304" s="4"/>
      <c r="N304" s="9">
        <f>+M304</f>
        <v>0</v>
      </c>
      <c r="O304" s="9"/>
      <c r="P304" s="9"/>
      <c r="Q304" s="4"/>
    </row>
    <row r="305" spans="1:17">
      <c r="A305" s="89"/>
      <c r="B305" s="89"/>
      <c r="C305" s="89"/>
      <c r="D305" s="89"/>
      <c r="E305" s="89"/>
      <c r="F305" s="89"/>
      <c r="G305" s="89"/>
      <c r="H305" s="90"/>
      <c r="I305" s="29">
        <f>+I304</f>
        <v>0</v>
      </c>
      <c r="J305" s="29">
        <f t="shared" ref="J305:P305" si="250">+J304</f>
        <v>0</v>
      </c>
      <c r="K305" s="29">
        <f t="shared" si="250"/>
        <v>0</v>
      </c>
      <c r="L305" s="29">
        <f t="shared" si="250"/>
        <v>0</v>
      </c>
      <c r="M305" s="29">
        <f t="shared" si="250"/>
        <v>0</v>
      </c>
      <c r="N305" s="29">
        <f t="shared" si="250"/>
        <v>0</v>
      </c>
      <c r="O305" s="29">
        <f t="shared" si="250"/>
        <v>0</v>
      </c>
      <c r="P305" s="29">
        <f t="shared" si="250"/>
        <v>0</v>
      </c>
      <c r="Q305" s="89"/>
    </row>
    <row r="306" spans="1:17">
      <c r="A306" s="18" t="s">
        <v>278</v>
      </c>
      <c r="B306" s="4"/>
      <c r="C306" s="4"/>
      <c r="D306" s="4"/>
      <c r="E306" s="4"/>
      <c r="F306" s="4"/>
      <c r="G306" s="4"/>
      <c r="H306" s="58"/>
      <c r="I306" s="5"/>
      <c r="J306" s="5"/>
      <c r="K306" s="5"/>
      <c r="L306" s="5"/>
      <c r="M306" s="5"/>
      <c r="N306" s="5"/>
      <c r="O306" s="5"/>
      <c r="P306" s="5"/>
      <c r="Q306" s="4"/>
    </row>
    <row r="307" spans="1:17">
      <c r="A307" s="4"/>
      <c r="B307" s="200" t="s">
        <v>476</v>
      </c>
      <c r="C307" s="4"/>
      <c r="D307" s="4"/>
      <c r="E307" s="4"/>
      <c r="F307" s="4"/>
      <c r="G307" s="4"/>
      <c r="H307" s="58"/>
      <c r="I307" s="9">
        <f t="shared" ref="I307" si="251">+L255</f>
        <v>590.28</v>
      </c>
      <c r="J307" s="4"/>
      <c r="K307" s="9">
        <v>0</v>
      </c>
      <c r="L307" s="9">
        <f>+I307+J307-K307</f>
        <v>590.28</v>
      </c>
      <c r="M307" s="9">
        <v>58.17</v>
      </c>
      <c r="N307" s="9"/>
      <c r="O307" s="9">
        <v>58.17</v>
      </c>
      <c r="P307" s="9">
        <v>48.64</v>
      </c>
      <c r="Q307" s="4"/>
    </row>
    <row r="308" spans="1:17">
      <c r="A308" s="89"/>
      <c r="B308" s="89"/>
      <c r="C308" s="89"/>
      <c r="D308" s="89"/>
      <c r="E308" s="89"/>
      <c r="F308" s="89"/>
      <c r="G308" s="89"/>
      <c r="H308" s="90"/>
      <c r="I308" s="29">
        <f>+I307</f>
        <v>590.28</v>
      </c>
      <c r="J308" s="29">
        <f t="shared" ref="J308:P308" si="252">+J307</f>
        <v>0</v>
      </c>
      <c r="K308" s="29">
        <f t="shared" si="252"/>
        <v>0</v>
      </c>
      <c r="L308" s="29">
        <f t="shared" si="252"/>
        <v>590.28</v>
      </c>
      <c r="M308" s="29">
        <f t="shared" si="252"/>
        <v>58.17</v>
      </c>
      <c r="N308" s="29">
        <f t="shared" si="252"/>
        <v>0</v>
      </c>
      <c r="O308" s="29">
        <f t="shared" si="252"/>
        <v>58.17</v>
      </c>
      <c r="P308" s="29">
        <f t="shared" si="252"/>
        <v>48.64</v>
      </c>
      <c r="Q308" s="89"/>
    </row>
    <row r="309" spans="1:17">
      <c r="A309" s="4"/>
      <c r="B309" s="4" t="s">
        <v>383</v>
      </c>
      <c r="C309" s="4"/>
      <c r="D309" s="4"/>
      <c r="E309" s="4"/>
      <c r="F309" s="4"/>
      <c r="G309" s="4"/>
      <c r="H309" s="58"/>
      <c r="I309" s="9">
        <f t="shared" ref="I309" si="253">+L257</f>
        <v>0</v>
      </c>
      <c r="J309" s="4"/>
      <c r="K309" s="4"/>
      <c r="L309" s="9">
        <f>+I309+J309-K309</f>
        <v>0</v>
      </c>
      <c r="M309" s="4">
        <v>0.25</v>
      </c>
      <c r="N309" s="9">
        <f>+M309</f>
        <v>0.25</v>
      </c>
      <c r="O309" s="9"/>
      <c r="P309" s="9"/>
      <c r="Q309" s="4"/>
    </row>
    <row r="310" spans="1:17">
      <c r="A310" s="89"/>
      <c r="B310" s="89"/>
      <c r="C310" s="89"/>
      <c r="D310" s="89"/>
      <c r="E310" s="89"/>
      <c r="F310" s="89"/>
      <c r="G310" s="89"/>
      <c r="H310" s="90"/>
      <c r="I310" s="29">
        <f>+I309</f>
        <v>0</v>
      </c>
      <c r="J310" s="29">
        <f t="shared" ref="J310" si="254">+J309</f>
        <v>0</v>
      </c>
      <c r="K310" s="29">
        <f t="shared" ref="K310" si="255">+K309</f>
        <v>0</v>
      </c>
      <c r="L310" s="29">
        <f t="shared" ref="L310" si="256">+L309</f>
        <v>0</v>
      </c>
      <c r="M310" s="29">
        <f t="shared" ref="M310" si="257">+M309</f>
        <v>0.25</v>
      </c>
      <c r="N310" s="29">
        <f t="shared" ref="N310" si="258">+N309</f>
        <v>0.25</v>
      </c>
      <c r="O310" s="29">
        <f t="shared" ref="O310" si="259">+O309</f>
        <v>0</v>
      </c>
      <c r="P310" s="29">
        <f t="shared" ref="P310" si="260">+P309</f>
        <v>0</v>
      </c>
      <c r="Q310" s="89"/>
    </row>
    <row r="311" spans="1:17">
      <c r="A311" s="89"/>
      <c r="B311" s="89"/>
      <c r="C311" s="89"/>
      <c r="D311" s="89"/>
      <c r="E311" s="89"/>
      <c r="F311" s="89"/>
      <c r="G311" s="89"/>
      <c r="H311" s="90"/>
      <c r="I311" s="29">
        <f>+I310+I308+I305+I302</f>
        <v>590.28</v>
      </c>
      <c r="J311" s="29">
        <f t="shared" ref="J311" si="261">+J310+J308+J305+J302</f>
        <v>0</v>
      </c>
      <c r="K311" s="29">
        <f t="shared" ref="K311" si="262">+K310+K308+K305+K302</f>
        <v>0</v>
      </c>
      <c r="L311" s="29">
        <f t="shared" ref="L311" si="263">+L310+L308+L305+L302</f>
        <v>590.28</v>
      </c>
      <c r="M311" s="29">
        <f t="shared" ref="M311" si="264">+M310+M308+M305+M302</f>
        <v>58.42</v>
      </c>
      <c r="N311" s="29">
        <f t="shared" ref="N311" si="265">+N310+N308+N305+N302</f>
        <v>0.25</v>
      </c>
      <c r="O311" s="29">
        <f t="shared" ref="O311" si="266">+O310+O308+O305+O302</f>
        <v>58.17</v>
      </c>
      <c r="P311" s="29">
        <f t="shared" ref="P311" si="267">+P310+P308+P305+P302</f>
        <v>48.64</v>
      </c>
      <c r="Q311" s="89"/>
    </row>
    <row r="312" spans="1:17">
      <c r="A312" s="28"/>
      <c r="B312" s="28"/>
      <c r="C312" s="28"/>
      <c r="D312" s="28"/>
      <c r="E312" s="28"/>
      <c r="F312" s="28"/>
      <c r="G312" s="28"/>
      <c r="H312" s="91"/>
      <c r="I312" s="29">
        <f>+I311+I298</f>
        <v>7023.670000000001</v>
      </c>
      <c r="J312" s="29">
        <f t="shared" ref="J312" si="268">+J311+J298</f>
        <v>2637.34</v>
      </c>
      <c r="K312" s="29">
        <f t="shared" ref="K312" si="269">+K311+K298</f>
        <v>1390.2799999999995</v>
      </c>
      <c r="L312" s="29">
        <f t="shared" ref="L312" si="270">+L311+L298</f>
        <v>8270.73</v>
      </c>
      <c r="M312" s="29">
        <f t="shared" ref="M312" si="271">+M311+M298</f>
        <v>659.7700000000001</v>
      </c>
      <c r="N312" s="29">
        <f t="shared" ref="N312" si="272">+N311+N298</f>
        <v>601.60000000000014</v>
      </c>
      <c r="O312" s="29">
        <f t="shared" ref="O312" si="273">+O311+O298</f>
        <v>58.17</v>
      </c>
      <c r="P312" s="29">
        <f t="shared" ref="P312" si="274">+P311+P298</f>
        <v>48.64</v>
      </c>
      <c r="Q312" s="28"/>
    </row>
    <row r="313" spans="1:17">
      <c r="A313" s="287" t="s">
        <v>272</v>
      </c>
      <c r="B313" s="287"/>
      <c r="C313" s="306" t="s">
        <v>273</v>
      </c>
      <c r="D313" s="306"/>
      <c r="E313" s="306"/>
      <c r="F313" s="306"/>
      <c r="G313" s="306"/>
      <c r="H313" s="306"/>
      <c r="I313" s="306"/>
      <c r="J313" s="306"/>
      <c r="K313" s="306"/>
      <c r="L313" s="306"/>
      <c r="M313" s="306"/>
      <c r="N313" s="306"/>
      <c r="O313" s="306"/>
      <c r="P313" s="306"/>
      <c r="Q313" s="306"/>
    </row>
    <row r="314" spans="1:17" ht="18" customHeight="1">
      <c r="A314" s="304" t="s">
        <v>427</v>
      </c>
      <c r="B314" s="304"/>
      <c r="C314" s="138"/>
      <c r="D314" s="198"/>
      <c r="E314" s="198"/>
      <c r="F314" s="198"/>
      <c r="G314" s="198"/>
      <c r="H314" s="199"/>
      <c r="I314" s="198"/>
      <c r="J314" s="198"/>
      <c r="K314" s="198"/>
      <c r="L314" s="198"/>
      <c r="M314" s="198"/>
      <c r="N314" s="305" t="s">
        <v>467</v>
      </c>
      <c r="O314" s="305"/>
      <c r="P314" s="305"/>
      <c r="Q314" s="198"/>
    </row>
    <row r="315" spans="1:17" ht="56.25">
      <c r="A315" s="111" t="s">
        <v>248</v>
      </c>
      <c r="B315" s="111" t="s">
        <v>302</v>
      </c>
      <c r="C315" s="111" t="s">
        <v>274</v>
      </c>
      <c r="D315" s="111" t="s">
        <v>251</v>
      </c>
      <c r="E315" s="111" t="s">
        <v>275</v>
      </c>
      <c r="F315" s="111" t="s">
        <v>257</v>
      </c>
      <c r="G315" s="111" t="s">
        <v>301</v>
      </c>
      <c r="H315" s="112" t="s">
        <v>258</v>
      </c>
      <c r="I315" s="111" t="s">
        <v>259</v>
      </c>
      <c r="J315" s="111" t="s">
        <v>260</v>
      </c>
      <c r="K315" s="111" t="s">
        <v>261</v>
      </c>
      <c r="L315" s="111" t="s">
        <v>262</v>
      </c>
      <c r="M315" s="111" t="s">
        <v>263</v>
      </c>
      <c r="N315" s="111" t="s">
        <v>264</v>
      </c>
      <c r="O315" s="111" t="s">
        <v>265</v>
      </c>
      <c r="P315" s="111" t="s">
        <v>266</v>
      </c>
      <c r="Q315" s="111" t="s">
        <v>101</v>
      </c>
    </row>
    <row r="316" spans="1:17" ht="15.75">
      <c r="A316" s="92" t="s">
        <v>283</v>
      </c>
      <c r="B316" s="4"/>
      <c r="C316" s="4"/>
      <c r="D316" s="4"/>
      <c r="E316" s="4"/>
      <c r="F316" s="4"/>
      <c r="G316" s="4"/>
      <c r="H316" s="58"/>
      <c r="I316" s="5"/>
      <c r="J316" s="5"/>
      <c r="K316" s="5"/>
      <c r="L316" s="5"/>
      <c r="M316" s="5"/>
      <c r="N316" s="5"/>
      <c r="O316" s="5"/>
      <c r="P316" s="5"/>
      <c r="Q316" s="4"/>
    </row>
    <row r="317" spans="1:17">
      <c r="A317" s="18" t="s">
        <v>276</v>
      </c>
      <c r="B317" s="4"/>
      <c r="C317" s="4"/>
      <c r="D317" s="4"/>
      <c r="E317" s="4"/>
      <c r="F317" s="4"/>
      <c r="G317" s="4"/>
      <c r="H317" s="58"/>
      <c r="I317" s="5"/>
      <c r="J317" s="5"/>
      <c r="K317" s="5"/>
      <c r="L317" s="5"/>
      <c r="M317" s="5"/>
      <c r="N317" s="5"/>
      <c r="O317" s="5"/>
      <c r="P317" s="5"/>
      <c r="Q317" s="4"/>
    </row>
    <row r="318" spans="1:17">
      <c r="A318" s="4"/>
      <c r="B318" s="4"/>
      <c r="C318" s="4"/>
      <c r="D318" s="4"/>
      <c r="E318" s="4"/>
      <c r="F318" s="4"/>
      <c r="G318" s="4"/>
      <c r="H318" s="58"/>
      <c r="I318" s="9">
        <f>+L266</f>
        <v>0</v>
      </c>
      <c r="J318" s="4"/>
      <c r="K318" s="4"/>
      <c r="L318" s="9">
        <f>+I318+J318-K318</f>
        <v>0</v>
      </c>
      <c r="M318" s="4"/>
      <c r="N318" s="9">
        <f>+M318</f>
        <v>0</v>
      </c>
      <c r="O318" s="9"/>
      <c r="P318" s="9"/>
      <c r="Q318" s="4"/>
    </row>
    <row r="319" spans="1:17">
      <c r="A319" s="89"/>
      <c r="B319" s="89"/>
      <c r="C319" s="89"/>
      <c r="D319" s="89"/>
      <c r="E319" s="89"/>
      <c r="F319" s="89"/>
      <c r="G319" s="89"/>
      <c r="H319" s="90"/>
      <c r="I319" s="29">
        <f>+I318</f>
        <v>0</v>
      </c>
      <c r="J319" s="29">
        <f t="shared" ref="J319:P319" si="275">+J318</f>
        <v>0</v>
      </c>
      <c r="K319" s="29">
        <f t="shared" si="275"/>
        <v>0</v>
      </c>
      <c r="L319" s="29">
        <f t="shared" si="275"/>
        <v>0</v>
      </c>
      <c r="M319" s="29">
        <f t="shared" si="275"/>
        <v>0</v>
      </c>
      <c r="N319" s="29">
        <f t="shared" si="275"/>
        <v>0</v>
      </c>
      <c r="O319" s="29">
        <f t="shared" si="275"/>
        <v>0</v>
      </c>
      <c r="P319" s="29">
        <f t="shared" si="275"/>
        <v>0</v>
      </c>
      <c r="Q319" s="89"/>
    </row>
    <row r="320" spans="1:17">
      <c r="A320" s="18" t="s">
        <v>277</v>
      </c>
      <c r="B320" s="4"/>
      <c r="C320" s="4"/>
      <c r="D320" s="4"/>
      <c r="E320" s="4"/>
      <c r="F320" s="4"/>
      <c r="G320" s="4"/>
      <c r="H320" s="58"/>
      <c r="I320" s="5"/>
      <c r="J320" s="5"/>
      <c r="K320" s="5"/>
      <c r="L320" s="5"/>
      <c r="M320" s="5"/>
      <c r="N320" s="5"/>
      <c r="O320" s="5"/>
      <c r="P320" s="5"/>
      <c r="Q320" s="4"/>
    </row>
    <row r="321" spans="1:17">
      <c r="A321" s="4"/>
      <c r="B321" s="4"/>
      <c r="C321" s="4"/>
      <c r="D321" s="4"/>
      <c r="E321" s="4"/>
      <c r="F321" s="4"/>
      <c r="G321" s="4"/>
      <c r="H321" s="58"/>
      <c r="I321" s="9">
        <f>+L269</f>
        <v>0</v>
      </c>
      <c r="J321" s="4"/>
      <c r="K321" s="4"/>
      <c r="L321" s="9">
        <f>+I321+J321-K321</f>
        <v>0</v>
      </c>
      <c r="M321" s="4"/>
      <c r="N321" s="9">
        <f>+M321</f>
        <v>0</v>
      </c>
      <c r="O321" s="9"/>
      <c r="P321" s="9"/>
      <c r="Q321" s="4"/>
    </row>
    <row r="322" spans="1:17">
      <c r="A322" s="89"/>
      <c r="B322" s="89"/>
      <c r="C322" s="89"/>
      <c r="D322" s="89"/>
      <c r="E322" s="89"/>
      <c r="F322" s="89"/>
      <c r="G322" s="89"/>
      <c r="H322" s="90"/>
      <c r="I322" s="29">
        <f>+I321</f>
        <v>0</v>
      </c>
      <c r="J322" s="29">
        <f t="shared" ref="J322:P322" si="276">+J321</f>
        <v>0</v>
      </c>
      <c r="K322" s="29">
        <f t="shared" si="276"/>
        <v>0</v>
      </c>
      <c r="L322" s="29">
        <f t="shared" si="276"/>
        <v>0</v>
      </c>
      <c r="M322" s="29">
        <f t="shared" si="276"/>
        <v>0</v>
      </c>
      <c r="N322" s="29">
        <f t="shared" si="276"/>
        <v>0</v>
      </c>
      <c r="O322" s="29">
        <f t="shared" si="276"/>
        <v>0</v>
      </c>
      <c r="P322" s="29">
        <f t="shared" si="276"/>
        <v>0</v>
      </c>
      <c r="Q322" s="89"/>
    </row>
    <row r="323" spans="1:17" ht="12.75" customHeight="1">
      <c r="A323" s="18" t="s">
        <v>278</v>
      </c>
      <c r="B323" s="4"/>
      <c r="C323" s="4"/>
      <c r="D323" s="4"/>
      <c r="E323" s="4"/>
      <c r="F323" s="4"/>
      <c r="G323" s="4"/>
      <c r="H323" s="58"/>
      <c r="I323" s="5"/>
      <c r="J323" s="5"/>
      <c r="K323" s="5"/>
      <c r="L323" s="5"/>
      <c r="M323" s="5"/>
      <c r="N323" s="5"/>
      <c r="O323" s="5"/>
      <c r="P323" s="5"/>
      <c r="Q323" s="4"/>
    </row>
    <row r="324" spans="1:17">
      <c r="A324" s="4"/>
      <c r="B324" s="4"/>
      <c r="C324" s="4"/>
      <c r="D324" s="4"/>
      <c r="E324" s="4"/>
      <c r="F324" s="4"/>
      <c r="G324" s="4"/>
      <c r="H324" s="58"/>
      <c r="I324" s="9">
        <f>+L272</f>
        <v>0</v>
      </c>
      <c r="J324" s="4"/>
      <c r="K324" s="4"/>
      <c r="L324" s="9">
        <f>+I324+J324-K324</f>
        <v>0</v>
      </c>
      <c r="M324" s="4"/>
      <c r="N324" s="9">
        <f>+M324</f>
        <v>0</v>
      </c>
      <c r="O324" s="9"/>
      <c r="P324" s="9"/>
      <c r="Q324" s="4"/>
    </row>
    <row r="325" spans="1:17" ht="12.75" customHeight="1">
      <c r="A325" s="89"/>
      <c r="B325" s="89"/>
      <c r="C325" s="89"/>
      <c r="D325" s="89"/>
      <c r="E325" s="89"/>
      <c r="F325" s="89"/>
      <c r="G325" s="89"/>
      <c r="H325" s="90"/>
      <c r="I325" s="29">
        <f>+I324</f>
        <v>0</v>
      </c>
      <c r="J325" s="29">
        <f t="shared" ref="J325:P325" si="277">+J324</f>
        <v>0</v>
      </c>
      <c r="K325" s="29">
        <f t="shared" si="277"/>
        <v>0</v>
      </c>
      <c r="L325" s="29">
        <f t="shared" si="277"/>
        <v>0</v>
      </c>
      <c r="M325" s="29">
        <f t="shared" si="277"/>
        <v>0</v>
      </c>
      <c r="N325" s="29">
        <f t="shared" si="277"/>
        <v>0</v>
      </c>
      <c r="O325" s="29">
        <f t="shared" si="277"/>
        <v>0</v>
      </c>
      <c r="P325" s="29">
        <f t="shared" si="277"/>
        <v>0</v>
      </c>
      <c r="Q325" s="89"/>
    </row>
    <row r="326" spans="1:17">
      <c r="A326" s="18" t="s">
        <v>279</v>
      </c>
      <c r="B326" s="4"/>
      <c r="C326" s="4"/>
      <c r="D326" s="4"/>
      <c r="E326" s="4"/>
      <c r="F326" s="4"/>
      <c r="G326" s="4"/>
      <c r="H326" s="58"/>
      <c r="I326" s="4"/>
      <c r="J326" s="4"/>
      <c r="K326" s="4"/>
      <c r="L326" s="4"/>
      <c r="M326" s="4"/>
      <c r="N326" s="4"/>
      <c r="O326" s="4"/>
      <c r="P326" s="4"/>
      <c r="Q326" s="4"/>
    </row>
    <row r="327" spans="1:17">
      <c r="A327" s="4"/>
      <c r="B327" s="4" t="s">
        <v>280</v>
      </c>
      <c r="C327" s="4"/>
      <c r="D327" s="4"/>
      <c r="E327" s="4"/>
      <c r="F327" s="233" t="s">
        <v>477</v>
      </c>
      <c r="G327" s="233" t="s">
        <v>483</v>
      </c>
      <c r="H327" s="233" t="s">
        <v>489</v>
      </c>
      <c r="I327" s="9">
        <f t="shared" ref="I327:I342" si="278">+L275</f>
        <v>3611.8899999999994</v>
      </c>
      <c r="J327" s="9">
        <v>680.3</v>
      </c>
      <c r="K327" s="4">
        <v>350.07</v>
      </c>
      <c r="L327" s="9">
        <f t="shared" ref="L327:L331" si="279">+I327+J327-K327</f>
        <v>3942.1199999999994</v>
      </c>
      <c r="M327" s="9">
        <v>400.2</v>
      </c>
      <c r="N327" s="9">
        <f t="shared" ref="N327:N348" si="280">+M327</f>
        <v>400.2</v>
      </c>
      <c r="O327" s="9"/>
      <c r="P327" s="9"/>
      <c r="Q327" s="4"/>
    </row>
    <row r="328" spans="1:17">
      <c r="A328" s="4"/>
      <c r="B328" s="4" t="s">
        <v>281</v>
      </c>
      <c r="C328" s="4"/>
      <c r="D328" s="4"/>
      <c r="E328" s="4"/>
      <c r="F328" s="233" t="s">
        <v>477</v>
      </c>
      <c r="G328" s="233" t="s">
        <v>484</v>
      </c>
      <c r="H328" s="233" t="s">
        <v>490</v>
      </c>
      <c r="I328" s="9">
        <f t="shared" si="278"/>
        <v>3905.0800000000004</v>
      </c>
      <c r="J328" s="9">
        <v>1165.55</v>
      </c>
      <c r="K328" s="4">
        <f>107.13+830</f>
        <v>937.13</v>
      </c>
      <c r="L328" s="9">
        <f t="shared" si="279"/>
        <v>4133.5</v>
      </c>
      <c r="M328" s="4">
        <v>348.59</v>
      </c>
      <c r="N328" s="9">
        <f t="shared" si="280"/>
        <v>348.59</v>
      </c>
      <c r="O328" s="9"/>
      <c r="P328" s="9"/>
      <c r="Q328" s="4"/>
    </row>
    <row r="329" spans="1:17">
      <c r="A329" s="4"/>
      <c r="B329" s="4" t="s">
        <v>285</v>
      </c>
      <c r="C329" s="4"/>
      <c r="D329" s="4"/>
      <c r="E329" s="4"/>
      <c r="F329" s="233" t="s">
        <v>478</v>
      </c>
      <c r="G329" s="233" t="s">
        <v>485</v>
      </c>
      <c r="H329" s="234">
        <v>0.1075</v>
      </c>
      <c r="I329" s="9">
        <f t="shared" si="278"/>
        <v>0</v>
      </c>
      <c r="J329" s="9"/>
      <c r="K329" s="4"/>
      <c r="L329" s="9">
        <f t="shared" si="279"/>
        <v>0</v>
      </c>
      <c r="M329" s="9">
        <f>+((I329+L329)/2)*10/100</f>
        <v>0</v>
      </c>
      <c r="N329" s="9">
        <f t="shared" si="280"/>
        <v>0</v>
      </c>
      <c r="O329" s="9"/>
      <c r="P329" s="9"/>
      <c r="Q329" s="4"/>
    </row>
    <row r="330" spans="1:17">
      <c r="A330" s="4"/>
      <c r="B330" s="4" t="s">
        <v>286</v>
      </c>
      <c r="C330" s="4"/>
      <c r="D330" s="4"/>
      <c r="E330" s="4"/>
      <c r="F330" s="233" t="s">
        <v>479</v>
      </c>
      <c r="G330" s="233" t="s">
        <v>479</v>
      </c>
      <c r="H330" s="233" t="s">
        <v>479</v>
      </c>
      <c r="I330" s="9">
        <f t="shared" si="278"/>
        <v>0</v>
      </c>
      <c r="J330" s="9"/>
      <c r="K330" s="9"/>
      <c r="L330" s="9">
        <f t="shared" si="279"/>
        <v>0</v>
      </c>
      <c r="M330" s="9">
        <f t="shared" ref="M330:M346" si="281">+((I330+L330)/2)*10/100</f>
        <v>0</v>
      </c>
      <c r="N330" s="9">
        <f t="shared" si="280"/>
        <v>0</v>
      </c>
      <c r="O330" s="9"/>
      <c r="P330" s="9"/>
      <c r="Q330" s="4"/>
    </row>
    <row r="331" spans="1:17">
      <c r="A331" s="4"/>
      <c r="B331" s="4" t="s">
        <v>287</v>
      </c>
      <c r="C331" s="4"/>
      <c r="D331" s="4"/>
      <c r="E331" s="4"/>
      <c r="F331" s="233" t="s">
        <v>480</v>
      </c>
      <c r="G331" s="233" t="s">
        <v>486</v>
      </c>
      <c r="H331" s="234">
        <v>0.11</v>
      </c>
      <c r="I331" s="9">
        <f t="shared" si="278"/>
        <v>33.42</v>
      </c>
      <c r="J331" s="9"/>
      <c r="K331" s="4">
        <v>7.13</v>
      </c>
      <c r="L331" s="9">
        <f t="shared" si="279"/>
        <v>26.290000000000003</v>
      </c>
      <c r="M331" s="9">
        <v>3.13</v>
      </c>
      <c r="N331" s="9">
        <f t="shared" si="280"/>
        <v>3.13</v>
      </c>
      <c r="O331" s="9"/>
      <c r="P331" s="9"/>
      <c r="Q331" s="4"/>
    </row>
    <row r="332" spans="1:17">
      <c r="A332" s="4"/>
      <c r="B332" s="4" t="s">
        <v>371</v>
      </c>
      <c r="C332" s="4"/>
      <c r="D332" s="4"/>
      <c r="E332" s="4"/>
      <c r="F332" s="233" t="s">
        <v>480</v>
      </c>
      <c r="G332" s="233" t="s">
        <v>486</v>
      </c>
      <c r="H332" s="234">
        <v>0.1115</v>
      </c>
      <c r="I332" s="9">
        <f t="shared" si="278"/>
        <v>0</v>
      </c>
      <c r="J332" s="9"/>
      <c r="K332" s="4"/>
      <c r="L332" s="9">
        <f>+I332+J332-K332</f>
        <v>0</v>
      </c>
      <c r="M332" s="9">
        <f t="shared" si="281"/>
        <v>0</v>
      </c>
      <c r="N332" s="9">
        <f t="shared" si="280"/>
        <v>0</v>
      </c>
      <c r="O332" s="9"/>
      <c r="P332" s="9"/>
      <c r="Q332" s="4"/>
    </row>
    <row r="333" spans="1:17">
      <c r="A333" s="4"/>
      <c r="B333" s="4" t="s">
        <v>288</v>
      </c>
      <c r="C333" s="4"/>
      <c r="D333" s="4"/>
      <c r="E333" s="4"/>
      <c r="F333" s="233" t="s">
        <v>481</v>
      </c>
      <c r="G333" s="233" t="s">
        <v>479</v>
      </c>
      <c r="H333" s="233" t="s">
        <v>479</v>
      </c>
      <c r="I333" s="9">
        <f t="shared" si="278"/>
        <v>0</v>
      </c>
      <c r="J333" s="9"/>
      <c r="K333" s="4"/>
      <c r="L333" s="9">
        <f t="shared" ref="L333:L346" si="282">+I333+J333-K333</f>
        <v>0</v>
      </c>
      <c r="M333" s="9">
        <f t="shared" si="281"/>
        <v>0</v>
      </c>
      <c r="N333" s="9">
        <f t="shared" si="280"/>
        <v>0</v>
      </c>
      <c r="O333" s="9"/>
      <c r="P333" s="9"/>
      <c r="Q333" s="4"/>
    </row>
    <row r="334" spans="1:17">
      <c r="A334" s="4"/>
      <c r="B334" s="4" t="s">
        <v>289</v>
      </c>
      <c r="C334" s="4"/>
      <c r="D334" s="4"/>
      <c r="E334" s="4"/>
      <c r="F334" s="233" t="s">
        <v>480</v>
      </c>
      <c r="G334" s="233" t="s">
        <v>486</v>
      </c>
      <c r="H334" s="234">
        <v>9.5000000000000001E-2</v>
      </c>
      <c r="I334" s="9">
        <f t="shared" si="278"/>
        <v>5.490000000000002</v>
      </c>
      <c r="J334" s="9"/>
      <c r="K334" s="4">
        <v>1.34</v>
      </c>
      <c r="L334" s="9">
        <f t="shared" si="282"/>
        <v>4.1500000000000021</v>
      </c>
      <c r="M334" s="9">
        <v>0.44</v>
      </c>
      <c r="N334" s="9">
        <f t="shared" si="280"/>
        <v>0.44</v>
      </c>
      <c r="O334" s="9"/>
      <c r="P334" s="9"/>
      <c r="Q334" s="4"/>
    </row>
    <row r="335" spans="1:17">
      <c r="A335" s="4"/>
      <c r="B335" s="4" t="s">
        <v>290</v>
      </c>
      <c r="C335" s="4"/>
      <c r="D335" s="4"/>
      <c r="E335" s="4"/>
      <c r="F335" s="233" t="s">
        <v>480</v>
      </c>
      <c r="G335" s="233" t="s">
        <v>486</v>
      </c>
      <c r="H335" s="234">
        <v>0.11</v>
      </c>
      <c r="I335" s="9">
        <f t="shared" si="278"/>
        <v>0</v>
      </c>
      <c r="J335" s="9"/>
      <c r="K335" s="4"/>
      <c r="L335" s="9">
        <f t="shared" si="282"/>
        <v>0</v>
      </c>
      <c r="M335" s="9">
        <f t="shared" si="281"/>
        <v>0</v>
      </c>
      <c r="N335" s="9">
        <f t="shared" si="280"/>
        <v>0</v>
      </c>
      <c r="O335" s="9"/>
      <c r="P335" s="9"/>
      <c r="Q335" s="4"/>
    </row>
    <row r="336" spans="1:17">
      <c r="A336" s="4"/>
      <c r="B336" s="4" t="s">
        <v>291</v>
      </c>
      <c r="C336" s="4"/>
      <c r="D336" s="4"/>
      <c r="E336" s="4"/>
      <c r="F336" s="233" t="s">
        <v>482</v>
      </c>
      <c r="G336" s="233" t="s">
        <v>486</v>
      </c>
      <c r="H336" s="234">
        <v>0.11</v>
      </c>
      <c r="I336" s="9">
        <f t="shared" si="278"/>
        <v>0</v>
      </c>
      <c r="J336" s="9"/>
      <c r="K336" s="4"/>
      <c r="L336" s="9">
        <f t="shared" si="282"/>
        <v>0</v>
      </c>
      <c r="M336" s="9">
        <f t="shared" si="281"/>
        <v>0</v>
      </c>
      <c r="N336" s="9">
        <f t="shared" si="280"/>
        <v>0</v>
      </c>
      <c r="O336" s="9"/>
      <c r="P336" s="9"/>
      <c r="Q336" s="4"/>
    </row>
    <row r="337" spans="1:17">
      <c r="A337" s="4"/>
      <c r="B337" s="4" t="s">
        <v>292</v>
      </c>
      <c r="C337" s="4"/>
      <c r="D337" s="4"/>
      <c r="E337" s="4"/>
      <c r="F337" s="233" t="s">
        <v>480</v>
      </c>
      <c r="G337" s="233" t="s">
        <v>479</v>
      </c>
      <c r="H337" s="233" t="s">
        <v>479</v>
      </c>
      <c r="I337" s="9">
        <f t="shared" si="278"/>
        <v>0</v>
      </c>
      <c r="J337" s="9"/>
      <c r="K337" s="4"/>
      <c r="L337" s="9">
        <f t="shared" si="282"/>
        <v>0</v>
      </c>
      <c r="M337" s="9">
        <f t="shared" si="281"/>
        <v>0</v>
      </c>
      <c r="N337" s="9">
        <f t="shared" si="280"/>
        <v>0</v>
      </c>
      <c r="O337" s="9"/>
      <c r="P337" s="9"/>
      <c r="Q337" s="4"/>
    </row>
    <row r="338" spans="1:17">
      <c r="A338" s="4"/>
      <c r="B338" s="4" t="s">
        <v>293</v>
      </c>
      <c r="C338" s="4"/>
      <c r="D338" s="4"/>
      <c r="E338" s="4"/>
      <c r="F338" s="233" t="s">
        <v>480</v>
      </c>
      <c r="G338" s="233" t="s">
        <v>487</v>
      </c>
      <c r="H338" s="234">
        <v>0.107</v>
      </c>
      <c r="I338" s="9">
        <f t="shared" si="278"/>
        <v>0</v>
      </c>
      <c r="J338" s="9"/>
      <c r="K338" s="4"/>
      <c r="L338" s="9">
        <f t="shared" si="282"/>
        <v>0</v>
      </c>
      <c r="M338" s="9">
        <f t="shared" si="281"/>
        <v>0</v>
      </c>
      <c r="N338" s="9">
        <f t="shared" si="280"/>
        <v>0</v>
      </c>
      <c r="O338" s="9"/>
      <c r="P338" s="9"/>
      <c r="Q338" s="4"/>
    </row>
    <row r="339" spans="1:17">
      <c r="A339" s="4"/>
      <c r="B339" s="4" t="s">
        <v>294</v>
      </c>
      <c r="C339" s="4"/>
      <c r="D339" s="4"/>
      <c r="E339" s="4"/>
      <c r="F339" s="233" t="s">
        <v>480</v>
      </c>
      <c r="G339" s="233" t="s">
        <v>486</v>
      </c>
      <c r="H339" s="234">
        <v>0.1115</v>
      </c>
      <c r="I339" s="9">
        <f t="shared" si="278"/>
        <v>0</v>
      </c>
      <c r="J339" s="9"/>
      <c r="K339" s="4"/>
      <c r="L339" s="9">
        <f t="shared" si="282"/>
        <v>0</v>
      </c>
      <c r="M339" s="9">
        <f t="shared" si="281"/>
        <v>0</v>
      </c>
      <c r="N339" s="9">
        <f t="shared" si="280"/>
        <v>0</v>
      </c>
      <c r="O339" s="9"/>
      <c r="P339" s="9"/>
      <c r="Q339" s="4"/>
    </row>
    <row r="340" spans="1:17">
      <c r="A340" s="4"/>
      <c r="B340" s="4" t="s">
        <v>295</v>
      </c>
      <c r="C340" s="4"/>
      <c r="D340" s="4"/>
      <c r="E340" s="4"/>
      <c r="F340" s="233" t="s">
        <v>480</v>
      </c>
      <c r="G340" s="233" t="s">
        <v>487</v>
      </c>
      <c r="H340" s="234">
        <v>0.1115</v>
      </c>
      <c r="I340" s="9">
        <f t="shared" si="278"/>
        <v>0</v>
      </c>
      <c r="J340" s="9"/>
      <c r="K340" s="4"/>
      <c r="L340" s="9">
        <f t="shared" si="282"/>
        <v>0</v>
      </c>
      <c r="M340" s="9">
        <f t="shared" si="281"/>
        <v>0</v>
      </c>
      <c r="N340" s="9">
        <f t="shared" si="280"/>
        <v>0</v>
      </c>
      <c r="O340" s="9"/>
      <c r="P340" s="9"/>
      <c r="Q340" s="4"/>
    </row>
    <row r="341" spans="1:17">
      <c r="A341" s="4"/>
      <c r="B341" s="4" t="s">
        <v>296</v>
      </c>
      <c r="C341" s="4"/>
      <c r="D341" s="4"/>
      <c r="E341" s="4"/>
      <c r="F341" s="233" t="s">
        <v>480</v>
      </c>
      <c r="G341" s="233" t="s">
        <v>487</v>
      </c>
      <c r="H341" s="234">
        <v>0.1125</v>
      </c>
      <c r="I341" s="9">
        <f t="shared" si="278"/>
        <v>0</v>
      </c>
      <c r="J341" s="9"/>
      <c r="K341" s="4"/>
      <c r="L341" s="9">
        <f t="shared" si="282"/>
        <v>0</v>
      </c>
      <c r="M341" s="9">
        <f t="shared" si="281"/>
        <v>0</v>
      </c>
      <c r="N341" s="9">
        <f t="shared" si="280"/>
        <v>0</v>
      </c>
      <c r="O341" s="9"/>
      <c r="P341" s="9"/>
      <c r="Q341" s="4"/>
    </row>
    <row r="342" spans="1:17">
      <c r="A342" s="4"/>
      <c r="B342" s="4" t="s">
        <v>297</v>
      </c>
      <c r="C342" s="4"/>
      <c r="D342" s="4"/>
      <c r="E342" s="4"/>
      <c r="F342" s="233" t="s">
        <v>480</v>
      </c>
      <c r="G342" s="233" t="s">
        <v>486</v>
      </c>
      <c r="H342" s="234">
        <v>0.1115</v>
      </c>
      <c r="I342" s="9">
        <f t="shared" si="278"/>
        <v>0</v>
      </c>
      <c r="J342" s="9"/>
      <c r="K342" s="4"/>
      <c r="L342" s="9">
        <f t="shared" si="282"/>
        <v>0</v>
      </c>
      <c r="M342" s="9">
        <f t="shared" si="281"/>
        <v>0</v>
      </c>
      <c r="N342" s="9">
        <f t="shared" si="280"/>
        <v>0</v>
      </c>
      <c r="O342" s="9"/>
      <c r="P342" s="9"/>
      <c r="Q342" s="4"/>
    </row>
    <row r="343" spans="1:17">
      <c r="A343" s="4"/>
      <c r="B343" s="200" t="s">
        <v>469</v>
      </c>
      <c r="C343" s="4"/>
      <c r="D343" s="4"/>
      <c r="E343" s="4"/>
      <c r="F343" s="233" t="s">
        <v>479</v>
      </c>
      <c r="G343" s="233" t="s">
        <v>479</v>
      </c>
      <c r="H343" s="233" t="s">
        <v>479</v>
      </c>
      <c r="I343" s="9">
        <f t="shared" ref="I343" si="283">+L291</f>
        <v>0</v>
      </c>
      <c r="J343" s="9"/>
      <c r="K343" s="4"/>
      <c r="L343" s="9">
        <f t="shared" si="282"/>
        <v>0</v>
      </c>
      <c r="M343" s="9">
        <f t="shared" si="281"/>
        <v>0</v>
      </c>
      <c r="N343" s="9">
        <f t="shared" si="280"/>
        <v>0</v>
      </c>
      <c r="O343" s="9"/>
      <c r="P343" s="9"/>
      <c r="Q343" s="4"/>
    </row>
    <row r="344" spans="1:17">
      <c r="A344" s="4"/>
      <c r="B344" s="4" t="s">
        <v>298</v>
      </c>
      <c r="C344" s="4"/>
      <c r="D344" s="4"/>
      <c r="E344" s="4"/>
      <c r="F344" s="233" t="s">
        <v>480</v>
      </c>
      <c r="G344" s="233" t="s">
        <v>486</v>
      </c>
      <c r="H344" s="234">
        <v>0.1095</v>
      </c>
      <c r="I344" s="9">
        <f t="shared" ref="I344:I348" si="284">+L292</f>
        <v>27.1</v>
      </c>
      <c r="J344" s="9"/>
      <c r="K344" s="4">
        <v>8.34</v>
      </c>
      <c r="L344" s="9">
        <f t="shared" si="282"/>
        <v>18.760000000000002</v>
      </c>
      <c r="M344" s="9">
        <v>2.5499999999999998</v>
      </c>
      <c r="N344" s="9">
        <f t="shared" si="280"/>
        <v>2.5499999999999998</v>
      </c>
      <c r="O344" s="9"/>
      <c r="P344" s="9"/>
      <c r="Q344" s="4"/>
    </row>
    <row r="345" spans="1:17">
      <c r="A345" s="4"/>
      <c r="B345" s="4" t="s">
        <v>299</v>
      </c>
      <c r="C345" s="4"/>
      <c r="D345" s="4"/>
      <c r="E345" s="4"/>
      <c r="F345" s="233" t="s">
        <v>477</v>
      </c>
      <c r="G345" s="233" t="s">
        <v>488</v>
      </c>
      <c r="H345" s="234">
        <v>0.1075</v>
      </c>
      <c r="I345" s="9">
        <f t="shared" si="284"/>
        <v>61.589999999999989</v>
      </c>
      <c r="J345" s="9"/>
      <c r="K345" s="4">
        <v>6.34</v>
      </c>
      <c r="L345" s="9">
        <f t="shared" si="282"/>
        <v>55.249999999999986</v>
      </c>
      <c r="M345" s="9">
        <v>5.6</v>
      </c>
      <c r="N345" s="9">
        <f t="shared" si="280"/>
        <v>5.6</v>
      </c>
      <c r="O345" s="9"/>
      <c r="P345" s="9"/>
      <c r="Q345" s="4"/>
    </row>
    <row r="346" spans="1:17">
      <c r="A346" s="4"/>
      <c r="B346" s="4" t="s">
        <v>300</v>
      </c>
      <c r="C346" s="4"/>
      <c r="D346" s="4"/>
      <c r="E346" s="4"/>
      <c r="F346" s="233" t="s">
        <v>480</v>
      </c>
      <c r="G346" s="233" t="s">
        <v>486</v>
      </c>
      <c r="H346" s="234">
        <v>0.115</v>
      </c>
      <c r="I346" s="9">
        <f t="shared" si="284"/>
        <v>0</v>
      </c>
      <c r="J346" s="9"/>
      <c r="K346" s="4"/>
      <c r="L346" s="9">
        <f t="shared" si="282"/>
        <v>0</v>
      </c>
      <c r="M346" s="9">
        <f t="shared" si="281"/>
        <v>0</v>
      </c>
      <c r="N346" s="9">
        <f t="shared" si="280"/>
        <v>0</v>
      </c>
      <c r="O346" s="9"/>
      <c r="P346" s="9"/>
      <c r="Q346" s="4"/>
    </row>
    <row r="347" spans="1:17">
      <c r="A347" s="4"/>
      <c r="B347" s="4" t="s">
        <v>372</v>
      </c>
      <c r="C347" s="4"/>
      <c r="D347" s="4"/>
      <c r="E347" s="4"/>
      <c r="F347" s="233" t="s">
        <v>480</v>
      </c>
      <c r="G347" s="233" t="s">
        <v>487</v>
      </c>
      <c r="H347" s="234">
        <v>9.7500000000000003E-2</v>
      </c>
      <c r="I347" s="9">
        <f t="shared" si="284"/>
        <v>14.209999999999999</v>
      </c>
      <c r="J347" s="9"/>
      <c r="K347" s="9">
        <v>2.5099999999999998</v>
      </c>
      <c r="L347" s="9">
        <f>+I347+J347-K347</f>
        <v>11.7</v>
      </c>
      <c r="M347" s="9">
        <v>1.28</v>
      </c>
      <c r="N347" s="9">
        <f t="shared" si="280"/>
        <v>1.28</v>
      </c>
      <c r="O347" s="9"/>
      <c r="P347" s="9"/>
      <c r="Q347" s="4"/>
    </row>
    <row r="348" spans="1:17">
      <c r="A348" s="4"/>
      <c r="B348" s="4" t="s">
        <v>410</v>
      </c>
      <c r="C348" s="4"/>
      <c r="D348" s="4"/>
      <c r="E348" s="4"/>
      <c r="F348" s="233" t="s">
        <v>480</v>
      </c>
      <c r="G348" s="233" t="s">
        <v>486</v>
      </c>
      <c r="H348" s="234">
        <v>0.11</v>
      </c>
      <c r="I348" s="9">
        <f t="shared" si="284"/>
        <v>21.67</v>
      </c>
      <c r="J348" s="9"/>
      <c r="K348" s="4">
        <v>21.67</v>
      </c>
      <c r="L348" s="9">
        <f>+I348+J348-K348</f>
        <v>0</v>
      </c>
      <c r="M348" s="9">
        <v>0.57999999999999996</v>
      </c>
      <c r="N348" s="9">
        <f t="shared" si="280"/>
        <v>0.57999999999999996</v>
      </c>
      <c r="O348" s="9"/>
      <c r="P348" s="9"/>
      <c r="Q348" s="4"/>
    </row>
    <row r="349" spans="1:17">
      <c r="A349" s="89"/>
      <c r="B349" s="89"/>
      <c r="C349" s="89"/>
      <c r="D349" s="89"/>
      <c r="E349" s="89"/>
      <c r="F349" s="89"/>
      <c r="G349" s="89"/>
      <c r="H349" s="90"/>
      <c r="I349" s="29">
        <f>SUM(I327:I348)</f>
        <v>7680.45</v>
      </c>
      <c r="J349" s="29">
        <f t="shared" ref="J349:P349" si="285">SUM(J327:J348)</f>
        <v>1845.85</v>
      </c>
      <c r="K349" s="29">
        <f t="shared" si="285"/>
        <v>1334.53</v>
      </c>
      <c r="L349" s="29">
        <f t="shared" si="285"/>
        <v>8191.7699999999986</v>
      </c>
      <c r="M349" s="29">
        <f t="shared" si="285"/>
        <v>762.37</v>
      </c>
      <c r="N349" s="29">
        <f t="shared" si="285"/>
        <v>762.37</v>
      </c>
      <c r="O349" s="29">
        <f t="shared" si="285"/>
        <v>0</v>
      </c>
      <c r="P349" s="29">
        <f t="shared" si="285"/>
        <v>0</v>
      </c>
      <c r="Q349" s="89"/>
    </row>
    <row r="350" spans="1:17">
      <c r="A350" s="28"/>
      <c r="B350" s="28"/>
      <c r="C350" s="28"/>
      <c r="D350" s="28"/>
      <c r="E350" s="28"/>
      <c r="F350" s="28"/>
      <c r="G350" s="28"/>
      <c r="H350" s="91"/>
      <c r="I350" s="29">
        <f t="shared" ref="I350" si="286">+I319+I322+I325+I349</f>
        <v>7680.45</v>
      </c>
      <c r="J350" s="29">
        <f t="shared" ref="J350" si="287">+J319+J322+J325+J349</f>
        <v>1845.85</v>
      </c>
      <c r="K350" s="29">
        <f t="shared" ref="K350" si="288">+K319+K322+K325+K349</f>
        <v>1334.53</v>
      </c>
      <c r="L350" s="29">
        <f t="shared" ref="L350" si="289">+L319+L322+L325+L349</f>
        <v>8191.7699999999986</v>
      </c>
      <c r="M350" s="29">
        <f t="shared" ref="M350" si="290">+M319+M322+M325+M349</f>
        <v>762.37</v>
      </c>
      <c r="N350" s="29">
        <f t="shared" ref="N350" si="291">+N319+N322+N325+N349</f>
        <v>762.37</v>
      </c>
      <c r="O350" s="29">
        <f t="shared" ref="O350" si="292">+O319+O322+O325+O349</f>
        <v>0</v>
      </c>
      <c r="P350" s="29">
        <f t="shared" ref="P350" si="293">+P319+P322+P325+P349</f>
        <v>0</v>
      </c>
      <c r="Q350" s="28"/>
    </row>
    <row r="351" spans="1:17" ht="15.75">
      <c r="A351" s="92" t="s">
        <v>282</v>
      </c>
      <c r="B351" s="4"/>
      <c r="C351" s="4"/>
      <c r="D351" s="4"/>
      <c r="E351" s="4"/>
      <c r="F351" s="4"/>
      <c r="G351" s="4"/>
      <c r="H351" s="58"/>
      <c r="I351" s="4"/>
      <c r="J351" s="4"/>
      <c r="K351" s="4"/>
      <c r="L351" s="4"/>
      <c r="M351" s="4"/>
      <c r="N351" s="4"/>
      <c r="O351" s="4"/>
      <c r="P351" s="4"/>
      <c r="Q351" s="4"/>
    </row>
    <row r="352" spans="1:17">
      <c r="A352" s="18" t="s">
        <v>276</v>
      </c>
      <c r="B352" s="4"/>
      <c r="C352" s="4"/>
      <c r="D352" s="4"/>
      <c r="E352" s="4"/>
      <c r="F352" s="4"/>
      <c r="G352" s="4"/>
      <c r="H352" s="58"/>
      <c r="I352" s="5"/>
      <c r="J352" s="5"/>
      <c r="K352" s="5"/>
      <c r="L352" s="5"/>
      <c r="M352" s="5"/>
      <c r="N352" s="5"/>
      <c r="O352" s="5"/>
      <c r="P352" s="5"/>
      <c r="Q352" s="4"/>
    </row>
    <row r="353" spans="1:17">
      <c r="A353" s="18"/>
      <c r="B353" s="4"/>
      <c r="C353" s="4"/>
      <c r="D353" s="4"/>
      <c r="E353" s="4"/>
      <c r="F353" s="4"/>
      <c r="G353" s="4"/>
      <c r="H353" s="58"/>
      <c r="I353" s="9">
        <f t="shared" ref="I353" si="294">+L301</f>
        <v>0</v>
      </c>
      <c r="J353" s="5"/>
      <c r="K353" s="36"/>
      <c r="L353" s="9">
        <f>+I353+J353-K353</f>
        <v>0</v>
      </c>
      <c r="M353" s="4"/>
      <c r="N353" s="9">
        <f>+M353</f>
        <v>0</v>
      </c>
      <c r="O353" s="9"/>
      <c r="P353" s="9"/>
      <c r="Q353" s="4"/>
    </row>
    <row r="354" spans="1:17">
      <c r="A354" s="89"/>
      <c r="B354" s="89"/>
      <c r="C354" s="89"/>
      <c r="D354" s="89"/>
      <c r="E354" s="89"/>
      <c r="F354" s="89"/>
      <c r="G354" s="89"/>
      <c r="H354" s="90"/>
      <c r="I354" s="29">
        <f t="shared" ref="I354" si="295">SUM(I353:I353)</f>
        <v>0</v>
      </c>
      <c r="J354" s="29">
        <f t="shared" ref="J354" si="296">SUM(J353:J353)</f>
        <v>0</v>
      </c>
      <c r="K354" s="29">
        <f t="shared" ref="K354" si="297">SUM(K353:K353)</f>
        <v>0</v>
      </c>
      <c r="L354" s="29">
        <f t="shared" ref="L354" si="298">SUM(L353:L353)</f>
        <v>0</v>
      </c>
      <c r="M354" s="29">
        <f t="shared" ref="M354" si="299">SUM(M353:M353)</f>
        <v>0</v>
      </c>
      <c r="N354" s="29">
        <f t="shared" ref="N354" si="300">SUM(N353:N353)</f>
        <v>0</v>
      </c>
      <c r="O354" s="29">
        <f t="shared" ref="O354" si="301">SUM(O353:O353)</f>
        <v>0</v>
      </c>
      <c r="P354" s="29">
        <f t="shared" ref="P354" si="302">SUM(P353:P353)</f>
        <v>0</v>
      </c>
      <c r="Q354" s="89"/>
    </row>
    <row r="355" spans="1:17">
      <c r="A355" s="18" t="s">
        <v>277</v>
      </c>
      <c r="B355" s="4"/>
      <c r="C355" s="4"/>
      <c r="D355" s="4"/>
      <c r="E355" s="4"/>
      <c r="F355" s="4"/>
      <c r="G355" s="4"/>
      <c r="H355" s="58"/>
      <c r="I355" s="5"/>
      <c r="J355" s="5"/>
      <c r="K355" s="5"/>
      <c r="L355" s="5"/>
      <c r="M355" s="5"/>
      <c r="N355" s="5"/>
      <c r="O355" s="5"/>
      <c r="P355" s="5"/>
      <c r="Q355" s="4"/>
    </row>
    <row r="356" spans="1:17">
      <c r="A356" s="4"/>
      <c r="B356" s="4"/>
      <c r="C356" s="4"/>
      <c r="D356" s="4"/>
      <c r="E356" s="4"/>
      <c r="F356" s="4"/>
      <c r="G356" s="4"/>
      <c r="H356" s="58"/>
      <c r="I356" s="9">
        <f t="shared" ref="I356" si="303">+L304</f>
        <v>0</v>
      </c>
      <c r="J356" s="4"/>
      <c r="K356" s="4"/>
      <c r="L356" s="9">
        <f>+I356+J356-K356</f>
        <v>0</v>
      </c>
      <c r="M356" s="4"/>
      <c r="N356" s="9">
        <f>+M356</f>
        <v>0</v>
      </c>
      <c r="O356" s="9"/>
      <c r="P356" s="9"/>
      <c r="Q356" s="4"/>
    </row>
    <row r="357" spans="1:17">
      <c r="A357" s="89"/>
      <c r="B357" s="89"/>
      <c r="C357" s="89"/>
      <c r="D357" s="89"/>
      <c r="E357" s="89"/>
      <c r="F357" s="89"/>
      <c r="G357" s="89"/>
      <c r="H357" s="90"/>
      <c r="I357" s="29">
        <f>+I356</f>
        <v>0</v>
      </c>
      <c r="J357" s="29">
        <f t="shared" ref="J357:P357" si="304">+J356</f>
        <v>0</v>
      </c>
      <c r="K357" s="29">
        <f t="shared" si="304"/>
        <v>0</v>
      </c>
      <c r="L357" s="29">
        <f t="shared" si="304"/>
        <v>0</v>
      </c>
      <c r="M357" s="29">
        <f t="shared" si="304"/>
        <v>0</v>
      </c>
      <c r="N357" s="29">
        <f t="shared" si="304"/>
        <v>0</v>
      </c>
      <c r="O357" s="29">
        <f t="shared" si="304"/>
        <v>0</v>
      </c>
      <c r="P357" s="29">
        <f t="shared" si="304"/>
        <v>0</v>
      </c>
      <c r="Q357" s="89"/>
    </row>
    <row r="358" spans="1:17">
      <c r="A358" s="18" t="s">
        <v>278</v>
      </c>
      <c r="B358" s="4"/>
      <c r="C358" s="4"/>
      <c r="D358" s="4"/>
      <c r="E358" s="4"/>
      <c r="F358" s="4"/>
      <c r="G358" s="4"/>
      <c r="H358" s="58"/>
      <c r="I358" s="5"/>
      <c r="J358" s="5"/>
      <c r="K358" s="5"/>
      <c r="L358" s="5"/>
      <c r="M358" s="5"/>
      <c r="N358" s="5"/>
      <c r="O358" s="5"/>
      <c r="P358" s="5"/>
      <c r="Q358" s="4"/>
    </row>
    <row r="359" spans="1:17">
      <c r="A359" s="4"/>
      <c r="B359" s="200" t="s">
        <v>476</v>
      </c>
      <c r="C359" s="4"/>
      <c r="D359" s="4"/>
      <c r="E359" s="4"/>
      <c r="F359" s="4"/>
      <c r="G359" s="4"/>
      <c r="H359" s="58"/>
      <c r="I359" s="9">
        <f t="shared" ref="I359" si="305">+L307</f>
        <v>590.28</v>
      </c>
      <c r="J359" s="4"/>
      <c r="K359" s="9">
        <v>97.28</v>
      </c>
      <c r="L359" s="9">
        <f>+I359+J359-K359</f>
        <v>493</v>
      </c>
      <c r="M359" s="9">
        <f t="shared" ref="M359" si="306">+((I359+L359)/2)*10/100</f>
        <v>54.163999999999994</v>
      </c>
      <c r="N359" s="9">
        <f>+M359</f>
        <v>54.163999999999994</v>
      </c>
      <c r="O359" s="9"/>
      <c r="P359" s="9"/>
      <c r="Q359" s="4"/>
    </row>
    <row r="360" spans="1:17">
      <c r="A360" s="89"/>
      <c r="B360" s="89"/>
      <c r="C360" s="89"/>
      <c r="D360" s="89"/>
      <c r="E360" s="89"/>
      <c r="F360" s="89"/>
      <c r="G360" s="89"/>
      <c r="H360" s="90"/>
      <c r="I360" s="29">
        <f>+I359</f>
        <v>590.28</v>
      </c>
      <c r="J360" s="29">
        <f t="shared" ref="J360:P360" si="307">+J359</f>
        <v>0</v>
      </c>
      <c r="K360" s="29">
        <f t="shared" si="307"/>
        <v>97.28</v>
      </c>
      <c r="L360" s="29">
        <f t="shared" si="307"/>
        <v>493</v>
      </c>
      <c r="M360" s="29">
        <f t="shared" si="307"/>
        <v>54.163999999999994</v>
      </c>
      <c r="N360" s="29">
        <f t="shared" si="307"/>
        <v>54.163999999999994</v>
      </c>
      <c r="O360" s="29">
        <f t="shared" si="307"/>
        <v>0</v>
      </c>
      <c r="P360" s="29">
        <f t="shared" si="307"/>
        <v>0</v>
      </c>
      <c r="Q360" s="89"/>
    </row>
    <row r="361" spans="1:17">
      <c r="A361" s="4"/>
      <c r="B361" s="4" t="s">
        <v>383</v>
      </c>
      <c r="C361" s="4"/>
      <c r="D361" s="4"/>
      <c r="E361" s="4"/>
      <c r="F361" s="4"/>
      <c r="G361" s="4"/>
      <c r="H361" s="58"/>
      <c r="I361" s="9">
        <f t="shared" ref="I361" si="308">+L309</f>
        <v>0</v>
      </c>
      <c r="J361" s="4"/>
      <c r="K361" s="4"/>
      <c r="L361" s="9">
        <f>+I361+J361-K361</f>
        <v>0</v>
      </c>
      <c r="M361" s="4"/>
      <c r="N361" s="9">
        <f>+M361</f>
        <v>0</v>
      </c>
      <c r="O361" s="9"/>
      <c r="P361" s="9"/>
      <c r="Q361" s="4"/>
    </row>
    <row r="362" spans="1:17">
      <c r="A362" s="89"/>
      <c r="B362" s="89"/>
      <c r="C362" s="89"/>
      <c r="D362" s="89"/>
      <c r="E362" s="89"/>
      <c r="F362" s="89"/>
      <c r="G362" s="89"/>
      <c r="H362" s="90"/>
      <c r="I362" s="29">
        <f>+I361</f>
        <v>0</v>
      </c>
      <c r="J362" s="29">
        <f t="shared" ref="J362" si="309">+J361</f>
        <v>0</v>
      </c>
      <c r="K362" s="29">
        <f t="shared" ref="K362" si="310">+K361</f>
        <v>0</v>
      </c>
      <c r="L362" s="29">
        <f t="shared" ref="L362" si="311">+L361</f>
        <v>0</v>
      </c>
      <c r="M362" s="29">
        <f t="shared" ref="M362" si="312">+M361</f>
        <v>0</v>
      </c>
      <c r="N362" s="29">
        <f t="shared" ref="N362" si="313">+N361</f>
        <v>0</v>
      </c>
      <c r="O362" s="29">
        <f t="shared" ref="O362" si="314">+O361</f>
        <v>0</v>
      </c>
      <c r="P362" s="29">
        <f t="shared" ref="P362" si="315">+P361</f>
        <v>0</v>
      </c>
      <c r="Q362" s="89"/>
    </row>
    <row r="363" spans="1:17">
      <c r="A363" s="89"/>
      <c r="B363" s="89"/>
      <c r="C363" s="89"/>
      <c r="D363" s="89"/>
      <c r="E363" s="89"/>
      <c r="F363" s="89"/>
      <c r="G363" s="89"/>
      <c r="H363" s="90"/>
      <c r="I363" s="29">
        <f>+I362+I360+I357+I354</f>
        <v>590.28</v>
      </c>
      <c r="J363" s="29">
        <f t="shared" ref="J363" si="316">+J362+J360+J357+J354</f>
        <v>0</v>
      </c>
      <c r="K363" s="29">
        <f t="shared" ref="K363" si="317">+K362+K360+K357+K354</f>
        <v>97.28</v>
      </c>
      <c r="L363" s="29">
        <f t="shared" ref="L363" si="318">+L362+L360+L357+L354</f>
        <v>493</v>
      </c>
      <c r="M363" s="29">
        <f t="shared" ref="M363" si="319">+M362+M360+M357+M354</f>
        <v>54.163999999999994</v>
      </c>
      <c r="N363" s="29">
        <f t="shared" ref="N363" si="320">+N362+N360+N357+N354</f>
        <v>54.163999999999994</v>
      </c>
      <c r="O363" s="29">
        <f t="shared" ref="O363" si="321">+O362+O360+O357+O354</f>
        <v>0</v>
      </c>
      <c r="P363" s="29">
        <f t="shared" ref="P363" si="322">+P362+P360+P357+P354</f>
        <v>0</v>
      </c>
      <c r="Q363" s="89"/>
    </row>
    <row r="364" spans="1:17">
      <c r="A364" s="28"/>
      <c r="B364" s="28"/>
      <c r="C364" s="28"/>
      <c r="D364" s="28"/>
      <c r="E364" s="28"/>
      <c r="F364" s="28"/>
      <c r="G364" s="28"/>
      <c r="H364" s="91"/>
      <c r="I364" s="29">
        <f>+I363+I350</f>
        <v>8270.73</v>
      </c>
      <c r="J364" s="29">
        <f t="shared" ref="J364" si="323">+J363+J350</f>
        <v>1845.85</v>
      </c>
      <c r="K364" s="29">
        <f t="shared" ref="K364" si="324">+K363+K350</f>
        <v>1431.81</v>
      </c>
      <c r="L364" s="29">
        <f t="shared" ref="L364" si="325">+L363+L350</f>
        <v>8684.7699999999986</v>
      </c>
      <c r="M364" s="29">
        <f t="shared" ref="M364" si="326">+M363+M350</f>
        <v>816.53399999999999</v>
      </c>
      <c r="N364" s="29">
        <f t="shared" ref="N364" si="327">+N363+N350</f>
        <v>816.53399999999999</v>
      </c>
      <c r="O364" s="29">
        <f t="shared" ref="O364" si="328">+O363+O350</f>
        <v>0</v>
      </c>
      <c r="P364" s="29">
        <f t="shared" ref="P364" si="329">+P363+P350</f>
        <v>0</v>
      </c>
      <c r="Q364" s="28"/>
    </row>
    <row r="365" spans="1:17">
      <c r="A365" s="287" t="s">
        <v>272</v>
      </c>
      <c r="B365" s="287"/>
      <c r="C365" s="306" t="s">
        <v>273</v>
      </c>
      <c r="D365" s="306"/>
      <c r="E365" s="306"/>
      <c r="F365" s="306"/>
      <c r="G365" s="306"/>
      <c r="H365" s="306"/>
      <c r="I365" s="306"/>
      <c r="J365" s="306"/>
      <c r="K365" s="306"/>
      <c r="L365" s="306"/>
      <c r="M365" s="306"/>
      <c r="N365" s="306"/>
      <c r="O365" s="306"/>
      <c r="P365" s="306"/>
      <c r="Q365" s="306"/>
    </row>
    <row r="366" spans="1:17" ht="18" customHeight="1">
      <c r="A366" s="304" t="s">
        <v>428</v>
      </c>
      <c r="B366" s="304"/>
      <c r="C366" s="138"/>
      <c r="D366" s="198"/>
      <c r="E366" s="198"/>
      <c r="F366" s="198"/>
      <c r="G366" s="198"/>
      <c r="H366" s="199"/>
      <c r="I366" s="198"/>
      <c r="J366" s="198"/>
      <c r="K366" s="198"/>
      <c r="L366" s="198"/>
      <c r="M366" s="198"/>
      <c r="N366" s="305" t="s">
        <v>467</v>
      </c>
      <c r="O366" s="305"/>
      <c r="P366" s="305"/>
      <c r="Q366" s="198"/>
    </row>
    <row r="367" spans="1:17" ht="56.25">
      <c r="A367" s="111" t="s">
        <v>248</v>
      </c>
      <c r="B367" s="111" t="s">
        <v>302</v>
      </c>
      <c r="C367" s="111" t="s">
        <v>274</v>
      </c>
      <c r="D367" s="111" t="s">
        <v>251</v>
      </c>
      <c r="E367" s="111" t="s">
        <v>275</v>
      </c>
      <c r="F367" s="111" t="s">
        <v>257</v>
      </c>
      <c r="G367" s="111" t="s">
        <v>301</v>
      </c>
      <c r="H367" s="112" t="s">
        <v>258</v>
      </c>
      <c r="I367" s="111" t="s">
        <v>259</v>
      </c>
      <c r="J367" s="111" t="s">
        <v>260</v>
      </c>
      <c r="K367" s="111" t="s">
        <v>261</v>
      </c>
      <c r="L367" s="111" t="s">
        <v>262</v>
      </c>
      <c r="M367" s="111" t="s">
        <v>263</v>
      </c>
      <c r="N367" s="111" t="s">
        <v>264</v>
      </c>
      <c r="O367" s="111" t="s">
        <v>265</v>
      </c>
      <c r="P367" s="111" t="s">
        <v>266</v>
      </c>
      <c r="Q367" s="111" t="s">
        <v>101</v>
      </c>
    </row>
    <row r="368" spans="1:17" ht="15.75">
      <c r="A368" s="92" t="s">
        <v>283</v>
      </c>
      <c r="B368" s="4"/>
      <c r="C368" s="4"/>
      <c r="D368" s="4"/>
      <c r="E368" s="4"/>
      <c r="F368" s="4"/>
      <c r="G368" s="4"/>
      <c r="H368" s="58"/>
      <c r="I368" s="5"/>
      <c r="J368" s="5"/>
      <c r="K368" s="5"/>
      <c r="L368" s="5"/>
      <c r="M368" s="5"/>
      <c r="N368" s="5"/>
      <c r="O368" s="5"/>
      <c r="P368" s="5"/>
      <c r="Q368" s="4"/>
    </row>
    <row r="369" spans="1:17">
      <c r="A369" s="18" t="s">
        <v>276</v>
      </c>
      <c r="B369" s="4"/>
      <c r="C369" s="4"/>
      <c r="D369" s="4"/>
      <c r="E369" s="4"/>
      <c r="F369" s="4"/>
      <c r="G369" s="4"/>
      <c r="H369" s="58"/>
      <c r="I369" s="5"/>
      <c r="J369" s="5"/>
      <c r="K369" s="5"/>
      <c r="L369" s="5"/>
      <c r="M369" s="5"/>
      <c r="N369" s="5"/>
      <c r="O369" s="5"/>
      <c r="P369" s="5"/>
      <c r="Q369" s="4"/>
    </row>
    <row r="370" spans="1:17">
      <c r="A370" s="4"/>
      <c r="B370" s="4"/>
      <c r="C370" s="4"/>
      <c r="D370" s="4"/>
      <c r="E370" s="4"/>
      <c r="F370" s="4"/>
      <c r="G370" s="4"/>
      <c r="H370" s="58"/>
      <c r="I370" s="9">
        <f>+L318</f>
        <v>0</v>
      </c>
      <c r="J370" s="4"/>
      <c r="K370" s="4"/>
      <c r="L370" s="9">
        <f>+I370+J370-K370</f>
        <v>0</v>
      </c>
      <c r="M370" s="4"/>
      <c r="N370" s="9">
        <f>+M370</f>
        <v>0</v>
      </c>
      <c r="O370" s="9"/>
      <c r="P370" s="9"/>
      <c r="Q370" s="4"/>
    </row>
    <row r="371" spans="1:17">
      <c r="A371" s="89"/>
      <c r="B371" s="89"/>
      <c r="C371" s="89"/>
      <c r="D371" s="89"/>
      <c r="E371" s="89"/>
      <c r="F371" s="89"/>
      <c r="G371" s="89"/>
      <c r="H371" s="90"/>
      <c r="I371" s="29">
        <f>+I370</f>
        <v>0</v>
      </c>
      <c r="J371" s="29">
        <f t="shared" ref="J371:P371" si="330">+J370</f>
        <v>0</v>
      </c>
      <c r="K371" s="29">
        <f t="shared" si="330"/>
        <v>0</v>
      </c>
      <c r="L371" s="29">
        <f t="shared" si="330"/>
        <v>0</v>
      </c>
      <c r="M371" s="29">
        <f t="shared" si="330"/>
        <v>0</v>
      </c>
      <c r="N371" s="29">
        <f t="shared" si="330"/>
        <v>0</v>
      </c>
      <c r="O371" s="29">
        <f t="shared" si="330"/>
        <v>0</v>
      </c>
      <c r="P371" s="29">
        <f t="shared" si="330"/>
        <v>0</v>
      </c>
      <c r="Q371" s="89"/>
    </row>
    <row r="372" spans="1:17">
      <c r="A372" s="18" t="s">
        <v>277</v>
      </c>
      <c r="B372" s="4"/>
      <c r="C372" s="4"/>
      <c r="D372" s="4"/>
      <c r="E372" s="4"/>
      <c r="F372" s="4"/>
      <c r="G372" s="4"/>
      <c r="H372" s="58"/>
      <c r="I372" s="5"/>
      <c r="J372" s="5"/>
      <c r="K372" s="5"/>
      <c r="L372" s="5"/>
      <c r="M372" s="5"/>
      <c r="N372" s="5"/>
      <c r="O372" s="5"/>
      <c r="P372" s="5"/>
      <c r="Q372" s="4"/>
    </row>
    <row r="373" spans="1:17">
      <c r="A373" s="4"/>
      <c r="B373" s="4"/>
      <c r="C373" s="4"/>
      <c r="D373" s="4"/>
      <c r="E373" s="4"/>
      <c r="F373" s="4"/>
      <c r="G373" s="4"/>
      <c r="H373" s="58"/>
      <c r="I373" s="9">
        <f>+L321</f>
        <v>0</v>
      </c>
      <c r="J373" s="4"/>
      <c r="K373" s="4"/>
      <c r="L373" s="9">
        <f>+I373+J373-K373</f>
        <v>0</v>
      </c>
      <c r="M373" s="4"/>
      <c r="N373" s="9">
        <f>+M373</f>
        <v>0</v>
      </c>
      <c r="O373" s="9"/>
      <c r="P373" s="9"/>
      <c r="Q373" s="4"/>
    </row>
    <row r="374" spans="1:17">
      <c r="A374" s="89"/>
      <c r="B374" s="89"/>
      <c r="C374" s="89"/>
      <c r="D374" s="89"/>
      <c r="E374" s="89"/>
      <c r="F374" s="89"/>
      <c r="G374" s="89"/>
      <c r="H374" s="90"/>
      <c r="I374" s="29">
        <f>+I373</f>
        <v>0</v>
      </c>
      <c r="J374" s="29">
        <f t="shared" ref="J374:P374" si="331">+J373</f>
        <v>0</v>
      </c>
      <c r="K374" s="29">
        <f t="shared" si="331"/>
        <v>0</v>
      </c>
      <c r="L374" s="29">
        <f t="shared" si="331"/>
        <v>0</v>
      </c>
      <c r="M374" s="29">
        <f t="shared" si="331"/>
        <v>0</v>
      </c>
      <c r="N374" s="29">
        <f t="shared" si="331"/>
        <v>0</v>
      </c>
      <c r="O374" s="29">
        <f t="shared" si="331"/>
        <v>0</v>
      </c>
      <c r="P374" s="29">
        <f t="shared" si="331"/>
        <v>0</v>
      </c>
      <c r="Q374" s="89"/>
    </row>
    <row r="375" spans="1:17">
      <c r="A375" s="18" t="s">
        <v>278</v>
      </c>
      <c r="B375" s="4"/>
      <c r="C375" s="4"/>
      <c r="D375" s="4"/>
      <c r="E375" s="4"/>
      <c r="F375" s="4"/>
      <c r="G375" s="4"/>
      <c r="H375" s="58"/>
      <c r="I375" s="5"/>
      <c r="J375" s="5"/>
      <c r="K375" s="5"/>
      <c r="L375" s="5"/>
      <c r="M375" s="5"/>
      <c r="N375" s="5"/>
      <c r="O375" s="5"/>
      <c r="P375" s="5"/>
      <c r="Q375" s="4"/>
    </row>
    <row r="376" spans="1:17">
      <c r="A376" s="4"/>
      <c r="B376" s="4"/>
      <c r="C376" s="4"/>
      <c r="D376" s="4"/>
      <c r="E376" s="4"/>
      <c r="F376" s="4"/>
      <c r="G376" s="4"/>
      <c r="H376" s="58"/>
      <c r="I376" s="9">
        <f>+L324</f>
        <v>0</v>
      </c>
      <c r="J376" s="4"/>
      <c r="K376" s="4"/>
      <c r="L376" s="9">
        <f>+I376+J376-K376</f>
        <v>0</v>
      </c>
      <c r="M376" s="4"/>
      <c r="N376" s="9">
        <f>+M376</f>
        <v>0</v>
      </c>
      <c r="O376" s="9"/>
      <c r="P376" s="9"/>
      <c r="Q376" s="4"/>
    </row>
    <row r="377" spans="1:17">
      <c r="A377" s="89"/>
      <c r="B377" s="89"/>
      <c r="C377" s="89"/>
      <c r="D377" s="89"/>
      <c r="E377" s="89"/>
      <c r="F377" s="89"/>
      <c r="G377" s="89"/>
      <c r="H377" s="90"/>
      <c r="I377" s="29">
        <f>+I376</f>
        <v>0</v>
      </c>
      <c r="J377" s="29">
        <f t="shared" ref="J377:P377" si="332">+J376</f>
        <v>0</v>
      </c>
      <c r="K377" s="29">
        <f t="shared" si="332"/>
        <v>0</v>
      </c>
      <c r="L377" s="29">
        <f t="shared" si="332"/>
        <v>0</v>
      </c>
      <c r="M377" s="29">
        <f t="shared" si="332"/>
        <v>0</v>
      </c>
      <c r="N377" s="29">
        <f t="shared" si="332"/>
        <v>0</v>
      </c>
      <c r="O377" s="29">
        <f t="shared" si="332"/>
        <v>0</v>
      </c>
      <c r="P377" s="29">
        <f t="shared" si="332"/>
        <v>0</v>
      </c>
      <c r="Q377" s="89"/>
    </row>
    <row r="378" spans="1:17">
      <c r="A378" s="18" t="s">
        <v>279</v>
      </c>
      <c r="B378" s="4"/>
      <c r="C378" s="4"/>
      <c r="D378" s="4"/>
      <c r="E378" s="4"/>
      <c r="F378" s="4"/>
      <c r="G378" s="4"/>
      <c r="H378" s="58"/>
      <c r="I378" s="4"/>
      <c r="J378" s="4"/>
      <c r="K378" s="4"/>
      <c r="L378" s="4"/>
      <c r="M378" s="4"/>
      <c r="N378" s="4"/>
      <c r="O378" s="4"/>
      <c r="P378" s="4"/>
      <c r="Q378" s="4"/>
    </row>
    <row r="379" spans="1:17">
      <c r="A379" s="4"/>
      <c r="B379" s="4" t="s">
        <v>280</v>
      </c>
      <c r="C379" s="4"/>
      <c r="D379" s="4"/>
      <c r="E379" s="4"/>
      <c r="F379" s="233" t="s">
        <v>477</v>
      </c>
      <c r="G379" s="233" t="s">
        <v>483</v>
      </c>
      <c r="H379" s="233" t="s">
        <v>489</v>
      </c>
      <c r="I379" s="9">
        <f t="shared" ref="I379:I394" si="333">+L327</f>
        <v>3942.1199999999994</v>
      </c>
      <c r="J379" s="9">
        <v>1195.05</v>
      </c>
      <c r="K379" s="4">
        <v>409.26</v>
      </c>
      <c r="L379" s="9">
        <f t="shared" ref="L379:L383" si="334">+I379+J379-K379</f>
        <v>4727.9099999999989</v>
      </c>
      <c r="M379" s="9">
        <v>484.26</v>
      </c>
      <c r="N379" s="9">
        <f t="shared" ref="N379:N400" si="335">+M379</f>
        <v>484.26</v>
      </c>
      <c r="O379" s="9"/>
      <c r="P379" s="9"/>
      <c r="Q379" s="4"/>
    </row>
    <row r="380" spans="1:17">
      <c r="A380" s="4"/>
      <c r="B380" s="4" t="s">
        <v>281</v>
      </c>
      <c r="C380" s="4"/>
      <c r="D380" s="4"/>
      <c r="E380" s="4"/>
      <c r="F380" s="233" t="s">
        <v>477</v>
      </c>
      <c r="G380" s="233" t="s">
        <v>484</v>
      </c>
      <c r="H380" s="233" t="s">
        <v>490</v>
      </c>
      <c r="I380" s="9">
        <f t="shared" si="333"/>
        <v>4133.5</v>
      </c>
      <c r="J380" s="9">
        <v>1061.04</v>
      </c>
      <c r="K380" s="4">
        <v>102.45</v>
      </c>
      <c r="L380" s="9">
        <f t="shared" si="334"/>
        <v>5092.09</v>
      </c>
      <c r="M380" s="4">
        <v>505.13</v>
      </c>
      <c r="N380" s="9">
        <f t="shared" si="335"/>
        <v>505.13</v>
      </c>
      <c r="O380" s="9"/>
      <c r="P380" s="9"/>
      <c r="Q380" s="4"/>
    </row>
    <row r="381" spans="1:17">
      <c r="A381" s="4"/>
      <c r="B381" s="4" t="s">
        <v>285</v>
      </c>
      <c r="C381" s="4"/>
      <c r="D381" s="4"/>
      <c r="E381" s="4"/>
      <c r="F381" s="233" t="s">
        <v>478</v>
      </c>
      <c r="G381" s="233" t="s">
        <v>485</v>
      </c>
      <c r="H381" s="234">
        <v>0.1075</v>
      </c>
      <c r="I381" s="9">
        <f t="shared" si="333"/>
        <v>0</v>
      </c>
      <c r="J381" s="9"/>
      <c r="K381" s="4"/>
      <c r="L381" s="9">
        <f t="shared" si="334"/>
        <v>0</v>
      </c>
      <c r="M381" s="9">
        <f>+((I381+L381)/2)*10/100</f>
        <v>0</v>
      </c>
      <c r="N381" s="9">
        <f t="shared" si="335"/>
        <v>0</v>
      </c>
      <c r="O381" s="9"/>
      <c r="P381" s="9"/>
      <c r="Q381" s="4"/>
    </row>
    <row r="382" spans="1:17">
      <c r="A382" s="4"/>
      <c r="B382" s="4" t="s">
        <v>286</v>
      </c>
      <c r="C382" s="4"/>
      <c r="D382" s="4"/>
      <c r="E382" s="4"/>
      <c r="F382" s="233" t="s">
        <v>479</v>
      </c>
      <c r="G382" s="233" t="s">
        <v>479</v>
      </c>
      <c r="H382" s="233" t="s">
        <v>479</v>
      </c>
      <c r="I382" s="9">
        <f t="shared" si="333"/>
        <v>0</v>
      </c>
      <c r="J382" s="9"/>
      <c r="K382" s="9"/>
      <c r="L382" s="9">
        <f t="shared" si="334"/>
        <v>0</v>
      </c>
      <c r="M382" s="9">
        <f t="shared" ref="M382:M400" si="336">+((I382+L382)/2)*10/100</f>
        <v>0</v>
      </c>
      <c r="N382" s="9">
        <f t="shared" si="335"/>
        <v>0</v>
      </c>
      <c r="O382" s="9"/>
      <c r="P382" s="9"/>
      <c r="Q382" s="4"/>
    </row>
    <row r="383" spans="1:17">
      <c r="A383" s="4"/>
      <c r="B383" s="4" t="s">
        <v>287</v>
      </c>
      <c r="C383" s="4"/>
      <c r="D383" s="4"/>
      <c r="E383" s="4"/>
      <c r="F383" s="233" t="s">
        <v>480</v>
      </c>
      <c r="G383" s="233" t="s">
        <v>486</v>
      </c>
      <c r="H383" s="234">
        <v>0.11</v>
      </c>
      <c r="I383" s="9">
        <f t="shared" si="333"/>
        <v>26.290000000000003</v>
      </c>
      <c r="J383" s="9"/>
      <c r="K383" s="4">
        <v>7.13</v>
      </c>
      <c r="L383" s="9">
        <f t="shared" si="334"/>
        <v>19.160000000000004</v>
      </c>
      <c r="M383" s="9">
        <v>2.39</v>
      </c>
      <c r="N383" s="9">
        <f t="shared" si="335"/>
        <v>2.39</v>
      </c>
      <c r="O383" s="9"/>
      <c r="P383" s="9"/>
      <c r="Q383" s="4"/>
    </row>
    <row r="384" spans="1:17">
      <c r="A384" s="4"/>
      <c r="B384" s="4" t="s">
        <v>371</v>
      </c>
      <c r="C384" s="4"/>
      <c r="D384" s="4"/>
      <c r="E384" s="4"/>
      <c r="F384" s="233" t="s">
        <v>480</v>
      </c>
      <c r="G384" s="233" t="s">
        <v>486</v>
      </c>
      <c r="H384" s="234">
        <v>0.1115</v>
      </c>
      <c r="I384" s="9">
        <f t="shared" si="333"/>
        <v>0</v>
      </c>
      <c r="J384" s="9"/>
      <c r="K384" s="4"/>
      <c r="L384" s="9">
        <f>+I384+J384-K384</f>
        <v>0</v>
      </c>
      <c r="M384" s="9">
        <f t="shared" si="336"/>
        <v>0</v>
      </c>
      <c r="N384" s="9">
        <f t="shared" si="335"/>
        <v>0</v>
      </c>
      <c r="O384" s="9"/>
      <c r="P384" s="9"/>
      <c r="Q384" s="4"/>
    </row>
    <row r="385" spans="1:17">
      <c r="A385" s="4"/>
      <c r="B385" s="4" t="s">
        <v>288</v>
      </c>
      <c r="C385" s="4"/>
      <c r="D385" s="4"/>
      <c r="E385" s="4"/>
      <c r="F385" s="233" t="s">
        <v>481</v>
      </c>
      <c r="G385" s="233" t="s">
        <v>479</v>
      </c>
      <c r="H385" s="233" t="s">
        <v>479</v>
      </c>
      <c r="I385" s="9">
        <f t="shared" si="333"/>
        <v>0</v>
      </c>
      <c r="J385" s="9"/>
      <c r="K385" s="4"/>
      <c r="L385" s="9">
        <f t="shared" ref="L385:L398" si="337">+I385+J385-K385</f>
        <v>0</v>
      </c>
      <c r="M385" s="9">
        <f t="shared" si="336"/>
        <v>0</v>
      </c>
      <c r="N385" s="9">
        <f t="shared" si="335"/>
        <v>0</v>
      </c>
      <c r="O385" s="9"/>
      <c r="P385" s="9"/>
      <c r="Q385" s="4"/>
    </row>
    <row r="386" spans="1:17">
      <c r="A386" s="4"/>
      <c r="B386" s="4" t="s">
        <v>289</v>
      </c>
      <c r="C386" s="4"/>
      <c r="D386" s="4"/>
      <c r="E386" s="4"/>
      <c r="F386" s="233" t="s">
        <v>480</v>
      </c>
      <c r="G386" s="233" t="s">
        <v>486</v>
      </c>
      <c r="H386" s="234">
        <v>9.5000000000000001E-2</v>
      </c>
      <c r="I386" s="9">
        <f t="shared" si="333"/>
        <v>4.1500000000000021</v>
      </c>
      <c r="J386" s="9"/>
      <c r="K386" s="4">
        <v>1.34</v>
      </c>
      <c r="L386" s="9">
        <f t="shared" si="337"/>
        <v>2.8100000000000023</v>
      </c>
      <c r="M386" s="9">
        <v>0.32</v>
      </c>
      <c r="N386" s="9">
        <f t="shared" si="335"/>
        <v>0.32</v>
      </c>
      <c r="O386" s="9"/>
      <c r="P386" s="9"/>
      <c r="Q386" s="4"/>
    </row>
    <row r="387" spans="1:17">
      <c r="A387" s="4"/>
      <c r="B387" s="4" t="s">
        <v>290</v>
      </c>
      <c r="C387" s="4"/>
      <c r="D387" s="4"/>
      <c r="E387" s="4"/>
      <c r="F387" s="233" t="s">
        <v>480</v>
      </c>
      <c r="G387" s="233" t="s">
        <v>486</v>
      </c>
      <c r="H387" s="234">
        <v>0.11</v>
      </c>
      <c r="I387" s="9">
        <f t="shared" si="333"/>
        <v>0</v>
      </c>
      <c r="J387" s="9"/>
      <c r="K387" s="4"/>
      <c r="L387" s="9">
        <f t="shared" si="337"/>
        <v>0</v>
      </c>
      <c r="M387" s="9">
        <f t="shared" si="336"/>
        <v>0</v>
      </c>
      <c r="N387" s="9">
        <f t="shared" si="335"/>
        <v>0</v>
      </c>
      <c r="O387" s="9"/>
      <c r="P387" s="9"/>
      <c r="Q387" s="4"/>
    </row>
    <row r="388" spans="1:17">
      <c r="A388" s="4"/>
      <c r="B388" s="4" t="s">
        <v>291</v>
      </c>
      <c r="C388" s="4"/>
      <c r="D388" s="4"/>
      <c r="E388" s="4"/>
      <c r="F388" s="233" t="s">
        <v>482</v>
      </c>
      <c r="G388" s="233" t="s">
        <v>486</v>
      </c>
      <c r="H388" s="234">
        <v>0.11</v>
      </c>
      <c r="I388" s="9">
        <f t="shared" si="333"/>
        <v>0</v>
      </c>
      <c r="J388" s="9"/>
      <c r="K388" s="4"/>
      <c r="L388" s="9">
        <f t="shared" si="337"/>
        <v>0</v>
      </c>
      <c r="M388" s="9">
        <f t="shared" si="336"/>
        <v>0</v>
      </c>
      <c r="N388" s="9">
        <f t="shared" si="335"/>
        <v>0</v>
      </c>
      <c r="O388" s="9"/>
      <c r="P388" s="9"/>
      <c r="Q388" s="4"/>
    </row>
    <row r="389" spans="1:17">
      <c r="A389" s="4"/>
      <c r="B389" s="4" t="s">
        <v>292</v>
      </c>
      <c r="C389" s="4"/>
      <c r="D389" s="4"/>
      <c r="E389" s="4"/>
      <c r="F389" s="233" t="s">
        <v>480</v>
      </c>
      <c r="G389" s="233" t="s">
        <v>479</v>
      </c>
      <c r="H389" s="233" t="s">
        <v>479</v>
      </c>
      <c r="I389" s="9">
        <f t="shared" si="333"/>
        <v>0</v>
      </c>
      <c r="J389" s="9"/>
      <c r="K389" s="4"/>
      <c r="L389" s="9">
        <f t="shared" si="337"/>
        <v>0</v>
      </c>
      <c r="M389" s="9">
        <f t="shared" si="336"/>
        <v>0</v>
      </c>
      <c r="N389" s="9">
        <f t="shared" si="335"/>
        <v>0</v>
      </c>
      <c r="O389" s="9"/>
      <c r="P389" s="9"/>
      <c r="Q389" s="4"/>
    </row>
    <row r="390" spans="1:17">
      <c r="A390" s="4"/>
      <c r="B390" s="4" t="s">
        <v>293</v>
      </c>
      <c r="C390" s="4"/>
      <c r="D390" s="4"/>
      <c r="E390" s="4"/>
      <c r="F390" s="233" t="s">
        <v>480</v>
      </c>
      <c r="G390" s="233" t="s">
        <v>487</v>
      </c>
      <c r="H390" s="234">
        <v>0.107</v>
      </c>
      <c r="I390" s="9">
        <f t="shared" si="333"/>
        <v>0</v>
      </c>
      <c r="J390" s="9"/>
      <c r="K390" s="4"/>
      <c r="L390" s="9">
        <f t="shared" si="337"/>
        <v>0</v>
      </c>
      <c r="M390" s="9">
        <f t="shared" si="336"/>
        <v>0</v>
      </c>
      <c r="N390" s="9">
        <f t="shared" si="335"/>
        <v>0</v>
      </c>
      <c r="O390" s="9"/>
      <c r="P390" s="9"/>
      <c r="Q390" s="4"/>
    </row>
    <row r="391" spans="1:17">
      <c r="A391" s="4"/>
      <c r="B391" s="4" t="s">
        <v>294</v>
      </c>
      <c r="C391" s="4"/>
      <c r="D391" s="4"/>
      <c r="E391" s="4"/>
      <c r="F391" s="233" t="s">
        <v>480</v>
      </c>
      <c r="G391" s="233" t="s">
        <v>486</v>
      </c>
      <c r="H391" s="234">
        <v>0.1115</v>
      </c>
      <c r="I391" s="9">
        <f t="shared" si="333"/>
        <v>0</v>
      </c>
      <c r="J391" s="9"/>
      <c r="K391" s="4"/>
      <c r="L391" s="9">
        <f t="shared" si="337"/>
        <v>0</v>
      </c>
      <c r="M391" s="9">
        <f t="shared" si="336"/>
        <v>0</v>
      </c>
      <c r="N391" s="9">
        <f t="shared" si="335"/>
        <v>0</v>
      </c>
      <c r="O391" s="9"/>
      <c r="P391" s="9"/>
      <c r="Q391" s="4"/>
    </row>
    <row r="392" spans="1:17">
      <c r="A392" s="4"/>
      <c r="B392" s="4" t="s">
        <v>295</v>
      </c>
      <c r="C392" s="4"/>
      <c r="D392" s="4"/>
      <c r="E392" s="4"/>
      <c r="F392" s="233" t="s">
        <v>480</v>
      </c>
      <c r="G392" s="233" t="s">
        <v>487</v>
      </c>
      <c r="H392" s="234">
        <v>0.1115</v>
      </c>
      <c r="I392" s="9">
        <f t="shared" si="333"/>
        <v>0</v>
      </c>
      <c r="J392" s="9"/>
      <c r="K392" s="4"/>
      <c r="L392" s="9">
        <f t="shared" si="337"/>
        <v>0</v>
      </c>
      <c r="M392" s="9">
        <f t="shared" si="336"/>
        <v>0</v>
      </c>
      <c r="N392" s="9">
        <f t="shared" si="335"/>
        <v>0</v>
      </c>
      <c r="O392" s="9"/>
      <c r="P392" s="9"/>
      <c r="Q392" s="4"/>
    </row>
    <row r="393" spans="1:17">
      <c r="A393" s="4"/>
      <c r="B393" s="4" t="s">
        <v>296</v>
      </c>
      <c r="C393" s="4"/>
      <c r="D393" s="4"/>
      <c r="E393" s="4"/>
      <c r="F393" s="233" t="s">
        <v>480</v>
      </c>
      <c r="G393" s="233" t="s">
        <v>487</v>
      </c>
      <c r="H393" s="234">
        <v>0.1125</v>
      </c>
      <c r="I393" s="9">
        <f t="shared" si="333"/>
        <v>0</v>
      </c>
      <c r="J393" s="9"/>
      <c r="K393" s="4"/>
      <c r="L393" s="9">
        <f t="shared" si="337"/>
        <v>0</v>
      </c>
      <c r="M393" s="9">
        <f t="shared" si="336"/>
        <v>0</v>
      </c>
      <c r="N393" s="9">
        <f t="shared" si="335"/>
        <v>0</v>
      </c>
      <c r="O393" s="9"/>
      <c r="P393" s="9"/>
      <c r="Q393" s="4"/>
    </row>
    <row r="394" spans="1:17">
      <c r="A394" s="4"/>
      <c r="B394" s="4" t="s">
        <v>297</v>
      </c>
      <c r="C394" s="4"/>
      <c r="D394" s="4"/>
      <c r="E394" s="4"/>
      <c r="F394" s="233" t="s">
        <v>480</v>
      </c>
      <c r="G394" s="233" t="s">
        <v>486</v>
      </c>
      <c r="H394" s="234">
        <v>0.1115</v>
      </c>
      <c r="I394" s="9">
        <f t="shared" si="333"/>
        <v>0</v>
      </c>
      <c r="J394" s="9"/>
      <c r="K394" s="4"/>
      <c r="L394" s="9">
        <f t="shared" si="337"/>
        <v>0</v>
      </c>
      <c r="M394" s="9">
        <f t="shared" si="336"/>
        <v>0</v>
      </c>
      <c r="N394" s="9">
        <f t="shared" si="335"/>
        <v>0</v>
      </c>
      <c r="O394" s="9"/>
      <c r="P394" s="9"/>
      <c r="Q394" s="4"/>
    </row>
    <row r="395" spans="1:17">
      <c r="A395" s="4"/>
      <c r="B395" s="200" t="s">
        <v>469</v>
      </c>
      <c r="C395" s="4"/>
      <c r="D395" s="4"/>
      <c r="E395" s="4"/>
      <c r="F395" s="233" t="s">
        <v>479</v>
      </c>
      <c r="G395" s="233" t="s">
        <v>479</v>
      </c>
      <c r="H395" s="233" t="s">
        <v>479</v>
      </c>
      <c r="I395" s="9">
        <f t="shared" ref="I395" si="338">+L343</f>
        <v>0</v>
      </c>
      <c r="J395" s="9"/>
      <c r="K395" s="4"/>
      <c r="L395" s="9">
        <f t="shared" si="337"/>
        <v>0</v>
      </c>
      <c r="M395" s="9">
        <f t="shared" si="336"/>
        <v>0</v>
      </c>
      <c r="N395" s="9">
        <f t="shared" si="335"/>
        <v>0</v>
      </c>
      <c r="O395" s="9"/>
      <c r="P395" s="9"/>
      <c r="Q395" s="4"/>
    </row>
    <row r="396" spans="1:17">
      <c r="A396" s="4"/>
      <c r="B396" s="4" t="s">
        <v>298</v>
      </c>
      <c r="C396" s="4"/>
      <c r="D396" s="4"/>
      <c r="E396" s="4"/>
      <c r="F396" s="233" t="s">
        <v>480</v>
      </c>
      <c r="G396" s="233" t="s">
        <v>486</v>
      </c>
      <c r="H396" s="234">
        <v>0.1095</v>
      </c>
      <c r="I396" s="9">
        <f t="shared" ref="I396:I400" si="339">+L344</f>
        <v>18.760000000000002</v>
      </c>
      <c r="J396" s="9"/>
      <c r="K396" s="4">
        <v>8.34</v>
      </c>
      <c r="L396" s="9">
        <f t="shared" si="337"/>
        <v>10.420000000000002</v>
      </c>
      <c r="M396" s="9">
        <v>1.64</v>
      </c>
      <c r="N396" s="9">
        <f t="shared" si="335"/>
        <v>1.64</v>
      </c>
      <c r="O396" s="9"/>
      <c r="P396" s="9"/>
      <c r="Q396" s="4"/>
    </row>
    <row r="397" spans="1:17">
      <c r="A397" s="4"/>
      <c r="B397" s="4" t="s">
        <v>299</v>
      </c>
      <c r="C397" s="4"/>
      <c r="D397" s="4"/>
      <c r="E397" s="4"/>
      <c r="F397" s="233" t="s">
        <v>477</v>
      </c>
      <c r="G397" s="233" t="s">
        <v>488</v>
      </c>
      <c r="H397" s="234">
        <v>0.1075</v>
      </c>
      <c r="I397" s="9">
        <f t="shared" si="339"/>
        <v>55.249999999999986</v>
      </c>
      <c r="J397" s="9"/>
      <c r="K397" s="4">
        <v>6.34</v>
      </c>
      <c r="L397" s="9">
        <f t="shared" si="337"/>
        <v>48.909999999999982</v>
      </c>
      <c r="M397" s="9">
        <v>4.96</v>
      </c>
      <c r="N397" s="9">
        <f t="shared" si="335"/>
        <v>4.96</v>
      </c>
      <c r="O397" s="9"/>
      <c r="P397" s="9"/>
      <c r="Q397" s="4"/>
    </row>
    <row r="398" spans="1:17">
      <c r="A398" s="4"/>
      <c r="B398" s="4" t="s">
        <v>300</v>
      </c>
      <c r="C398" s="4"/>
      <c r="D398" s="4"/>
      <c r="E398" s="4"/>
      <c r="F398" s="233" t="s">
        <v>480</v>
      </c>
      <c r="G398" s="233" t="s">
        <v>486</v>
      </c>
      <c r="H398" s="234">
        <v>0.115</v>
      </c>
      <c r="I398" s="9">
        <f t="shared" si="339"/>
        <v>0</v>
      </c>
      <c r="J398" s="9"/>
      <c r="K398" s="4"/>
      <c r="L398" s="9">
        <f t="shared" si="337"/>
        <v>0</v>
      </c>
      <c r="M398" s="9">
        <f t="shared" si="336"/>
        <v>0</v>
      </c>
      <c r="N398" s="9">
        <f t="shared" si="335"/>
        <v>0</v>
      </c>
      <c r="O398" s="9"/>
      <c r="P398" s="9"/>
      <c r="Q398" s="4"/>
    </row>
    <row r="399" spans="1:17">
      <c r="A399" s="4"/>
      <c r="B399" s="4" t="s">
        <v>372</v>
      </c>
      <c r="C399" s="4"/>
      <c r="D399" s="4"/>
      <c r="E399" s="4"/>
      <c r="F399" s="233" t="s">
        <v>480</v>
      </c>
      <c r="G399" s="233" t="s">
        <v>487</v>
      </c>
      <c r="H399" s="234">
        <v>9.7500000000000003E-2</v>
      </c>
      <c r="I399" s="9">
        <f t="shared" si="339"/>
        <v>11.7</v>
      </c>
      <c r="J399" s="9"/>
      <c r="K399" s="9">
        <v>2.5099999999999998</v>
      </c>
      <c r="L399" s="9">
        <f>+I399+J399-K399</f>
        <v>9.19</v>
      </c>
      <c r="M399" s="9">
        <v>1.03</v>
      </c>
      <c r="N399" s="9">
        <f t="shared" si="335"/>
        <v>1.03</v>
      </c>
      <c r="O399" s="9"/>
      <c r="P399" s="9"/>
      <c r="Q399" s="4"/>
    </row>
    <row r="400" spans="1:17">
      <c r="A400" s="4"/>
      <c r="B400" s="4" t="s">
        <v>410</v>
      </c>
      <c r="C400" s="4"/>
      <c r="D400" s="4"/>
      <c r="E400" s="4"/>
      <c r="F400" s="233" t="s">
        <v>480</v>
      </c>
      <c r="G400" s="233" t="s">
        <v>486</v>
      </c>
      <c r="H400" s="234">
        <v>0.11</v>
      </c>
      <c r="I400" s="9">
        <f t="shared" si="339"/>
        <v>0</v>
      </c>
      <c r="J400" s="9"/>
      <c r="K400" s="4"/>
      <c r="L400" s="9">
        <f>+I400+J400-K400</f>
        <v>0</v>
      </c>
      <c r="M400" s="9">
        <f t="shared" si="336"/>
        <v>0</v>
      </c>
      <c r="N400" s="9">
        <f t="shared" si="335"/>
        <v>0</v>
      </c>
      <c r="O400" s="9"/>
      <c r="P400" s="9"/>
      <c r="Q400" s="4"/>
    </row>
    <row r="401" spans="1:17">
      <c r="A401" s="89"/>
      <c r="B401" s="89"/>
      <c r="C401" s="89"/>
      <c r="D401" s="89"/>
      <c r="E401" s="89"/>
      <c r="F401" s="89"/>
      <c r="G401" s="89"/>
      <c r="H401" s="90"/>
      <c r="I401" s="29">
        <f>SUM(I379:I400)</f>
        <v>8191.7699999999986</v>
      </c>
      <c r="J401" s="29">
        <f t="shared" ref="J401:P401" si="340">SUM(J379:J400)</f>
        <v>2256.09</v>
      </c>
      <c r="K401" s="29">
        <f t="shared" si="340"/>
        <v>537.37000000000012</v>
      </c>
      <c r="L401" s="29">
        <f t="shared" si="340"/>
        <v>9910.49</v>
      </c>
      <c r="M401" s="29">
        <f t="shared" si="340"/>
        <v>999.73</v>
      </c>
      <c r="N401" s="29">
        <f t="shared" si="340"/>
        <v>999.73</v>
      </c>
      <c r="O401" s="29">
        <f t="shared" si="340"/>
        <v>0</v>
      </c>
      <c r="P401" s="29">
        <f t="shared" si="340"/>
        <v>0</v>
      </c>
      <c r="Q401" s="89"/>
    </row>
    <row r="402" spans="1:17">
      <c r="A402" s="28"/>
      <c r="B402" s="28"/>
      <c r="C402" s="28"/>
      <c r="D402" s="28"/>
      <c r="E402" s="28"/>
      <c r="F402" s="28"/>
      <c r="G402" s="28"/>
      <c r="H402" s="91"/>
      <c r="I402" s="29">
        <f t="shared" ref="I402" si="341">+I371+I374+I377+I401</f>
        <v>8191.7699999999986</v>
      </c>
      <c r="J402" s="29">
        <f t="shared" ref="J402" si="342">+J371+J374+J377+J401</f>
        <v>2256.09</v>
      </c>
      <c r="K402" s="29">
        <f t="shared" ref="K402" si="343">+K371+K374+K377+K401</f>
        <v>537.37000000000012</v>
      </c>
      <c r="L402" s="29">
        <f t="shared" ref="L402" si="344">+L371+L374+L377+L401</f>
        <v>9910.49</v>
      </c>
      <c r="M402" s="29">
        <f t="shared" ref="M402" si="345">+M371+M374+M377+M401</f>
        <v>999.73</v>
      </c>
      <c r="N402" s="29">
        <f t="shared" ref="N402" si="346">+N371+N374+N377+N401</f>
        <v>999.73</v>
      </c>
      <c r="O402" s="29">
        <f t="shared" ref="O402" si="347">+O371+O374+O377+O401</f>
        <v>0</v>
      </c>
      <c r="P402" s="29">
        <f t="shared" ref="P402" si="348">+P371+P374+P377+P401</f>
        <v>0</v>
      </c>
      <c r="Q402" s="28"/>
    </row>
    <row r="403" spans="1:17" ht="15.75">
      <c r="A403" s="92" t="s">
        <v>282</v>
      </c>
      <c r="B403" s="4"/>
      <c r="C403" s="4"/>
      <c r="D403" s="4"/>
      <c r="E403" s="4"/>
      <c r="F403" s="4"/>
      <c r="G403" s="4"/>
      <c r="H403" s="58"/>
      <c r="I403" s="4"/>
      <c r="J403" s="4"/>
      <c r="K403" s="4"/>
      <c r="L403" s="4"/>
      <c r="M403" s="4"/>
      <c r="N403" s="4"/>
      <c r="O403" s="4"/>
      <c r="P403" s="4"/>
      <c r="Q403" s="4"/>
    </row>
    <row r="404" spans="1:17">
      <c r="A404" s="18" t="s">
        <v>276</v>
      </c>
      <c r="B404" s="4"/>
      <c r="C404" s="4"/>
      <c r="D404" s="4"/>
      <c r="E404" s="4"/>
      <c r="F404" s="4"/>
      <c r="G404" s="4"/>
      <c r="H404" s="58"/>
      <c r="I404" s="5"/>
      <c r="J404" s="5"/>
      <c r="K404" s="5"/>
      <c r="L404" s="5"/>
      <c r="M404" s="5"/>
      <c r="N404" s="5"/>
      <c r="O404" s="5"/>
      <c r="P404" s="5"/>
      <c r="Q404" s="4"/>
    </row>
    <row r="405" spans="1:17">
      <c r="A405" s="18"/>
      <c r="B405" s="4"/>
      <c r="C405" s="4"/>
      <c r="D405" s="4"/>
      <c r="E405" s="4"/>
      <c r="F405" s="4"/>
      <c r="G405" s="4"/>
      <c r="H405" s="58"/>
      <c r="I405" s="9">
        <f t="shared" ref="I405" si="349">+L353</f>
        <v>0</v>
      </c>
      <c r="J405" s="5"/>
      <c r="K405" s="36"/>
      <c r="L405" s="9">
        <f>+I405+J405-K405</f>
        <v>0</v>
      </c>
      <c r="M405" s="4"/>
      <c r="N405" s="9">
        <f>+M405</f>
        <v>0</v>
      </c>
      <c r="O405" s="9"/>
      <c r="P405" s="9"/>
      <c r="Q405" s="4"/>
    </row>
    <row r="406" spans="1:17">
      <c r="A406" s="89"/>
      <c r="B406" s="89"/>
      <c r="C406" s="89"/>
      <c r="D406" s="89"/>
      <c r="E406" s="89"/>
      <c r="F406" s="89"/>
      <c r="G406" s="89"/>
      <c r="H406" s="90"/>
      <c r="I406" s="29">
        <f t="shared" ref="I406" si="350">SUM(I405:I405)</f>
        <v>0</v>
      </c>
      <c r="J406" s="29">
        <f t="shared" ref="J406" si="351">SUM(J405:J405)</f>
        <v>0</v>
      </c>
      <c r="K406" s="29">
        <f t="shared" ref="K406" si="352">SUM(K405:K405)</f>
        <v>0</v>
      </c>
      <c r="L406" s="29">
        <f t="shared" ref="L406" si="353">SUM(L405:L405)</f>
        <v>0</v>
      </c>
      <c r="M406" s="29">
        <f t="shared" ref="M406" si="354">SUM(M405:M405)</f>
        <v>0</v>
      </c>
      <c r="N406" s="29">
        <f t="shared" ref="N406" si="355">SUM(N405:N405)</f>
        <v>0</v>
      </c>
      <c r="O406" s="29">
        <f t="shared" ref="O406" si="356">SUM(O405:O405)</f>
        <v>0</v>
      </c>
      <c r="P406" s="29">
        <f t="shared" ref="P406" si="357">SUM(P405:P405)</f>
        <v>0</v>
      </c>
      <c r="Q406" s="89"/>
    </row>
    <row r="407" spans="1:17">
      <c r="A407" s="18" t="s">
        <v>277</v>
      </c>
      <c r="B407" s="4"/>
      <c r="C407" s="4"/>
      <c r="D407" s="4"/>
      <c r="E407" s="4"/>
      <c r="F407" s="4"/>
      <c r="G407" s="4"/>
      <c r="H407" s="58"/>
      <c r="I407" s="5"/>
      <c r="J407" s="5"/>
      <c r="K407" s="5"/>
      <c r="L407" s="5"/>
      <c r="M407" s="5"/>
      <c r="N407" s="5"/>
      <c r="O407" s="5"/>
      <c r="P407" s="5"/>
      <c r="Q407" s="4"/>
    </row>
    <row r="408" spans="1:17">
      <c r="A408" s="4"/>
      <c r="B408" s="4"/>
      <c r="C408" s="4"/>
      <c r="D408" s="4"/>
      <c r="E408" s="4"/>
      <c r="F408" s="4"/>
      <c r="G408" s="4"/>
      <c r="H408" s="58"/>
      <c r="I408" s="9">
        <f t="shared" ref="I408" si="358">+L356</f>
        <v>0</v>
      </c>
      <c r="J408" s="4"/>
      <c r="K408" s="4"/>
      <c r="L408" s="9">
        <f>+I408+J408-K408</f>
        <v>0</v>
      </c>
      <c r="M408" s="4"/>
      <c r="N408" s="9">
        <f>+M408</f>
        <v>0</v>
      </c>
      <c r="O408" s="9"/>
      <c r="P408" s="9"/>
      <c r="Q408" s="4"/>
    </row>
    <row r="409" spans="1:17">
      <c r="A409" s="89"/>
      <c r="B409" s="89"/>
      <c r="C409" s="89"/>
      <c r="D409" s="89"/>
      <c r="E409" s="89"/>
      <c r="F409" s="89"/>
      <c r="G409" s="89"/>
      <c r="H409" s="90"/>
      <c r="I409" s="29">
        <f>+I408</f>
        <v>0</v>
      </c>
      <c r="J409" s="29">
        <f t="shared" ref="J409:P409" si="359">+J408</f>
        <v>0</v>
      </c>
      <c r="K409" s="29">
        <f t="shared" si="359"/>
        <v>0</v>
      </c>
      <c r="L409" s="29">
        <f t="shared" si="359"/>
        <v>0</v>
      </c>
      <c r="M409" s="29">
        <f t="shared" si="359"/>
        <v>0</v>
      </c>
      <c r="N409" s="29">
        <f t="shared" si="359"/>
        <v>0</v>
      </c>
      <c r="O409" s="29">
        <f t="shared" si="359"/>
        <v>0</v>
      </c>
      <c r="P409" s="29">
        <f t="shared" si="359"/>
        <v>0</v>
      </c>
      <c r="Q409" s="89"/>
    </row>
    <row r="410" spans="1:17">
      <c r="A410" s="18" t="s">
        <v>278</v>
      </c>
      <c r="B410" s="4"/>
      <c r="C410" s="4"/>
      <c r="D410" s="4"/>
      <c r="E410" s="4"/>
      <c r="F410" s="4"/>
      <c r="G410" s="4"/>
      <c r="H410" s="58"/>
      <c r="I410" s="5"/>
      <c r="J410" s="5"/>
      <c r="K410" s="5"/>
      <c r="L410" s="5"/>
      <c r="M410" s="5"/>
      <c r="N410" s="5"/>
      <c r="O410" s="5"/>
      <c r="P410" s="5"/>
      <c r="Q410" s="4"/>
    </row>
    <row r="411" spans="1:17">
      <c r="A411" s="4"/>
      <c r="B411" s="200" t="s">
        <v>476</v>
      </c>
      <c r="C411" s="4"/>
      <c r="D411" s="4"/>
      <c r="E411" s="4"/>
      <c r="F411" s="4"/>
      <c r="G411" s="4"/>
      <c r="H411" s="58"/>
      <c r="I411" s="9">
        <f t="shared" ref="I411" si="360">+L359</f>
        <v>493</v>
      </c>
      <c r="J411" s="4"/>
      <c r="K411" s="9">
        <v>48.64</v>
      </c>
      <c r="L411" s="9">
        <f>+I411+J411-K411</f>
        <v>444.36</v>
      </c>
      <c r="M411" s="9">
        <v>46.83</v>
      </c>
      <c r="N411" s="9">
        <f>+M411</f>
        <v>46.83</v>
      </c>
      <c r="O411" s="9"/>
      <c r="P411" s="9"/>
      <c r="Q411" s="4"/>
    </row>
    <row r="412" spans="1:17">
      <c r="A412" s="89"/>
      <c r="B412" s="89"/>
      <c r="C412" s="89"/>
      <c r="D412" s="89"/>
      <c r="E412" s="89"/>
      <c r="F412" s="89"/>
      <c r="G412" s="89"/>
      <c r="H412" s="90"/>
      <c r="I412" s="29">
        <f>+I411</f>
        <v>493</v>
      </c>
      <c r="J412" s="29">
        <f t="shared" ref="J412:P412" si="361">+J411</f>
        <v>0</v>
      </c>
      <c r="K412" s="29">
        <f t="shared" si="361"/>
        <v>48.64</v>
      </c>
      <c r="L412" s="29">
        <f t="shared" si="361"/>
        <v>444.36</v>
      </c>
      <c r="M412" s="29">
        <f t="shared" si="361"/>
        <v>46.83</v>
      </c>
      <c r="N412" s="29">
        <f t="shared" si="361"/>
        <v>46.83</v>
      </c>
      <c r="O412" s="29">
        <f t="shared" si="361"/>
        <v>0</v>
      </c>
      <c r="P412" s="29">
        <f t="shared" si="361"/>
        <v>0</v>
      </c>
      <c r="Q412" s="89"/>
    </row>
    <row r="413" spans="1:17">
      <c r="A413" s="4"/>
      <c r="B413" s="4" t="s">
        <v>383</v>
      </c>
      <c r="C413" s="4"/>
      <c r="D413" s="4"/>
      <c r="E413" s="4"/>
      <c r="F413" s="4"/>
      <c r="G413" s="4"/>
      <c r="H413" s="58"/>
      <c r="I413" s="9">
        <f t="shared" ref="I413" si="362">+L361</f>
        <v>0</v>
      </c>
      <c r="J413" s="4"/>
      <c r="K413" s="4"/>
      <c r="L413" s="9">
        <f>+I413+J413-K413</f>
        <v>0</v>
      </c>
      <c r="M413" s="4"/>
      <c r="N413" s="9">
        <f>+M413</f>
        <v>0</v>
      </c>
      <c r="O413" s="9"/>
      <c r="P413" s="9"/>
      <c r="Q413" s="4"/>
    </row>
    <row r="414" spans="1:17">
      <c r="A414" s="89"/>
      <c r="B414" s="89"/>
      <c r="C414" s="89"/>
      <c r="D414" s="89"/>
      <c r="E414" s="89"/>
      <c r="F414" s="89"/>
      <c r="G414" s="89"/>
      <c r="H414" s="90"/>
      <c r="I414" s="29">
        <f>+I413</f>
        <v>0</v>
      </c>
      <c r="J414" s="29">
        <f t="shared" ref="J414" si="363">+J413</f>
        <v>0</v>
      </c>
      <c r="K414" s="29">
        <f t="shared" ref="K414" si="364">+K413</f>
        <v>0</v>
      </c>
      <c r="L414" s="29">
        <f t="shared" ref="L414" si="365">+L413</f>
        <v>0</v>
      </c>
      <c r="M414" s="29">
        <f t="shared" ref="M414" si="366">+M413</f>
        <v>0</v>
      </c>
      <c r="N414" s="29">
        <f t="shared" ref="N414" si="367">+N413</f>
        <v>0</v>
      </c>
      <c r="O414" s="29">
        <f t="shared" ref="O414" si="368">+O413</f>
        <v>0</v>
      </c>
      <c r="P414" s="29">
        <f t="shared" ref="P414" si="369">+P413</f>
        <v>0</v>
      </c>
      <c r="Q414" s="89"/>
    </row>
    <row r="415" spans="1:17">
      <c r="A415" s="89"/>
      <c r="B415" s="89"/>
      <c r="C415" s="89"/>
      <c r="D415" s="89"/>
      <c r="E415" s="89"/>
      <c r="F415" s="89"/>
      <c r="G415" s="89"/>
      <c r="H415" s="90"/>
      <c r="I415" s="29">
        <f>+I414+I412+I409+I406</f>
        <v>493</v>
      </c>
      <c r="J415" s="29">
        <f t="shared" ref="J415" si="370">+J414+J412+J409+J406</f>
        <v>0</v>
      </c>
      <c r="K415" s="29">
        <f t="shared" ref="K415" si="371">+K414+K412+K409+K406</f>
        <v>48.64</v>
      </c>
      <c r="L415" s="29">
        <f t="shared" ref="L415" si="372">+L414+L412+L409+L406</f>
        <v>444.36</v>
      </c>
      <c r="M415" s="29">
        <f t="shared" ref="M415" si="373">+M414+M412+M409+M406</f>
        <v>46.83</v>
      </c>
      <c r="N415" s="29">
        <f t="shared" ref="N415" si="374">+N414+N412+N409+N406</f>
        <v>46.83</v>
      </c>
      <c r="O415" s="29">
        <f t="shared" ref="O415" si="375">+O414+O412+O409+O406</f>
        <v>0</v>
      </c>
      <c r="P415" s="29">
        <f t="shared" ref="P415" si="376">+P414+P412+P409+P406</f>
        <v>0</v>
      </c>
      <c r="Q415" s="89"/>
    </row>
    <row r="416" spans="1:17">
      <c r="A416" s="28"/>
      <c r="B416" s="28"/>
      <c r="C416" s="28"/>
      <c r="D416" s="28"/>
      <c r="E416" s="28"/>
      <c r="F416" s="28"/>
      <c r="G416" s="28"/>
      <c r="H416" s="91"/>
      <c r="I416" s="29">
        <f>+I415+I402</f>
        <v>8684.7699999999986</v>
      </c>
      <c r="J416" s="29">
        <f t="shared" ref="J416" si="377">+J415+J402</f>
        <v>2256.09</v>
      </c>
      <c r="K416" s="29">
        <f t="shared" ref="K416" si="378">+K415+K402</f>
        <v>586.0100000000001</v>
      </c>
      <c r="L416" s="29">
        <f t="shared" ref="L416" si="379">+L415+L402</f>
        <v>10354.85</v>
      </c>
      <c r="M416" s="29">
        <f t="shared" ref="M416" si="380">+M415+M402</f>
        <v>1046.56</v>
      </c>
      <c r="N416" s="29">
        <f t="shared" ref="N416" si="381">+N415+N402</f>
        <v>1046.56</v>
      </c>
      <c r="O416" s="29">
        <f t="shared" ref="O416" si="382">+O415+O402</f>
        <v>0</v>
      </c>
      <c r="P416" s="29">
        <f t="shared" ref="P416" si="383">+P415+P402</f>
        <v>0</v>
      </c>
      <c r="Q416" s="28"/>
    </row>
    <row r="417" spans="1:17">
      <c r="A417" s="287" t="s">
        <v>272</v>
      </c>
      <c r="B417" s="287"/>
      <c r="C417" s="306" t="s">
        <v>273</v>
      </c>
      <c r="D417" s="306"/>
      <c r="E417" s="306"/>
      <c r="F417" s="306"/>
      <c r="G417" s="306"/>
      <c r="H417" s="306"/>
      <c r="I417" s="306"/>
      <c r="J417" s="306"/>
      <c r="K417" s="306"/>
      <c r="L417" s="306"/>
      <c r="M417" s="306"/>
      <c r="N417" s="306"/>
      <c r="O417" s="306"/>
      <c r="P417" s="306"/>
      <c r="Q417" s="306"/>
    </row>
    <row r="418" spans="1:17" ht="18" customHeight="1">
      <c r="A418" s="304" t="s">
        <v>429</v>
      </c>
      <c r="B418" s="304"/>
      <c r="C418" s="138"/>
      <c r="D418" s="198"/>
      <c r="E418" s="198"/>
      <c r="F418" s="198"/>
      <c r="G418" s="198"/>
      <c r="H418" s="199"/>
      <c r="I418" s="198"/>
      <c r="J418" s="198"/>
      <c r="K418" s="198"/>
      <c r="L418" s="198"/>
      <c r="M418" s="198"/>
      <c r="N418" s="305" t="s">
        <v>467</v>
      </c>
      <c r="O418" s="305"/>
      <c r="P418" s="305"/>
      <c r="Q418" s="198"/>
    </row>
    <row r="419" spans="1:17" ht="56.25">
      <c r="A419" s="111" t="s">
        <v>248</v>
      </c>
      <c r="B419" s="111" t="s">
        <v>302</v>
      </c>
      <c r="C419" s="111" t="s">
        <v>274</v>
      </c>
      <c r="D419" s="111" t="s">
        <v>251</v>
      </c>
      <c r="E419" s="111" t="s">
        <v>275</v>
      </c>
      <c r="F419" s="111" t="s">
        <v>257</v>
      </c>
      <c r="G419" s="111" t="s">
        <v>301</v>
      </c>
      <c r="H419" s="112" t="s">
        <v>258</v>
      </c>
      <c r="I419" s="111" t="s">
        <v>259</v>
      </c>
      <c r="J419" s="111" t="s">
        <v>260</v>
      </c>
      <c r="K419" s="111" t="s">
        <v>261</v>
      </c>
      <c r="L419" s="111" t="s">
        <v>262</v>
      </c>
      <c r="M419" s="111" t="s">
        <v>263</v>
      </c>
      <c r="N419" s="111" t="s">
        <v>264</v>
      </c>
      <c r="O419" s="111" t="s">
        <v>265</v>
      </c>
      <c r="P419" s="111" t="s">
        <v>266</v>
      </c>
      <c r="Q419" s="111" t="s">
        <v>101</v>
      </c>
    </row>
    <row r="420" spans="1:17" ht="15.75">
      <c r="A420" s="92" t="s">
        <v>283</v>
      </c>
      <c r="B420" s="4"/>
      <c r="C420" s="4"/>
      <c r="D420" s="4"/>
      <c r="E420" s="4"/>
      <c r="F420" s="4"/>
      <c r="G420" s="4"/>
      <c r="H420" s="58"/>
      <c r="I420" s="5"/>
      <c r="J420" s="5"/>
      <c r="K420" s="5"/>
      <c r="L420" s="5"/>
      <c r="M420" s="5"/>
      <c r="N420" s="5"/>
      <c r="O420" s="5"/>
      <c r="P420" s="5"/>
      <c r="Q420" s="4"/>
    </row>
    <row r="421" spans="1:17">
      <c r="A421" s="18" t="s">
        <v>276</v>
      </c>
      <c r="B421" s="4"/>
      <c r="C421" s="4"/>
      <c r="D421" s="4"/>
      <c r="E421" s="4"/>
      <c r="F421" s="4"/>
      <c r="G421" s="4"/>
      <c r="H421" s="58"/>
      <c r="I421" s="5"/>
      <c r="J421" s="5"/>
      <c r="K421" s="5"/>
      <c r="L421" s="5"/>
      <c r="M421" s="5"/>
      <c r="N421" s="5"/>
      <c r="O421" s="5"/>
      <c r="P421" s="5"/>
      <c r="Q421" s="4"/>
    </row>
    <row r="422" spans="1:17">
      <c r="A422" s="4"/>
      <c r="B422" s="4"/>
      <c r="C422" s="4"/>
      <c r="D422" s="4"/>
      <c r="E422" s="4"/>
      <c r="F422" s="4"/>
      <c r="G422" s="4"/>
      <c r="H422" s="58"/>
      <c r="I422" s="9">
        <f>+L370</f>
        <v>0</v>
      </c>
      <c r="J422" s="4"/>
      <c r="K422" s="4"/>
      <c r="L422" s="9">
        <f>+I422+J422-K422</f>
        <v>0</v>
      </c>
      <c r="M422" s="4"/>
      <c r="N422" s="9">
        <f>+M422</f>
        <v>0</v>
      </c>
      <c r="O422" s="9"/>
      <c r="P422" s="9"/>
      <c r="Q422" s="4"/>
    </row>
    <row r="423" spans="1:17">
      <c r="A423" s="89"/>
      <c r="B423" s="89"/>
      <c r="C423" s="89"/>
      <c r="D423" s="89"/>
      <c r="E423" s="89"/>
      <c r="F423" s="89"/>
      <c r="G423" s="89"/>
      <c r="H423" s="90"/>
      <c r="I423" s="29">
        <f>+I422</f>
        <v>0</v>
      </c>
      <c r="J423" s="29">
        <f t="shared" ref="J423:P423" si="384">+J422</f>
        <v>0</v>
      </c>
      <c r="K423" s="29">
        <f t="shared" si="384"/>
        <v>0</v>
      </c>
      <c r="L423" s="29">
        <f t="shared" si="384"/>
        <v>0</v>
      </c>
      <c r="M423" s="29">
        <f t="shared" si="384"/>
        <v>0</v>
      </c>
      <c r="N423" s="29">
        <f t="shared" si="384"/>
        <v>0</v>
      </c>
      <c r="O423" s="29">
        <f t="shared" si="384"/>
        <v>0</v>
      </c>
      <c r="P423" s="29">
        <f t="shared" si="384"/>
        <v>0</v>
      </c>
      <c r="Q423" s="89"/>
    </row>
    <row r="424" spans="1:17">
      <c r="A424" s="18" t="s">
        <v>277</v>
      </c>
      <c r="B424" s="4"/>
      <c r="C424" s="4"/>
      <c r="D424" s="4"/>
      <c r="E424" s="4"/>
      <c r="F424" s="4"/>
      <c r="G424" s="4"/>
      <c r="H424" s="58"/>
      <c r="I424" s="5"/>
      <c r="J424" s="5"/>
      <c r="K424" s="5"/>
      <c r="L424" s="5"/>
      <c r="M424" s="5"/>
      <c r="N424" s="5"/>
      <c r="O424" s="5"/>
      <c r="P424" s="5"/>
      <c r="Q424" s="4"/>
    </row>
    <row r="425" spans="1:17">
      <c r="A425" s="4"/>
      <c r="B425" s="4"/>
      <c r="C425" s="4"/>
      <c r="D425" s="4"/>
      <c r="E425" s="4"/>
      <c r="F425" s="4"/>
      <c r="G425" s="4"/>
      <c r="H425" s="58"/>
      <c r="I425" s="9">
        <f>+L373</f>
        <v>0</v>
      </c>
      <c r="J425" s="4"/>
      <c r="K425" s="4"/>
      <c r="L425" s="9">
        <f>+I425+J425-K425</f>
        <v>0</v>
      </c>
      <c r="M425" s="4"/>
      <c r="N425" s="9">
        <f>+M425</f>
        <v>0</v>
      </c>
      <c r="O425" s="9"/>
      <c r="P425" s="9"/>
      <c r="Q425" s="4"/>
    </row>
    <row r="426" spans="1:17">
      <c r="A426" s="89"/>
      <c r="B426" s="89"/>
      <c r="C426" s="89"/>
      <c r="D426" s="89"/>
      <c r="E426" s="89"/>
      <c r="F426" s="89"/>
      <c r="G426" s="89"/>
      <c r="H426" s="90"/>
      <c r="I426" s="29">
        <f>+I425</f>
        <v>0</v>
      </c>
      <c r="J426" s="29">
        <f t="shared" ref="J426:P426" si="385">+J425</f>
        <v>0</v>
      </c>
      <c r="K426" s="29">
        <f t="shared" si="385"/>
        <v>0</v>
      </c>
      <c r="L426" s="29">
        <f t="shared" si="385"/>
        <v>0</v>
      </c>
      <c r="M426" s="29">
        <f t="shared" si="385"/>
        <v>0</v>
      </c>
      <c r="N426" s="29">
        <f t="shared" si="385"/>
        <v>0</v>
      </c>
      <c r="O426" s="29">
        <f t="shared" si="385"/>
        <v>0</v>
      </c>
      <c r="P426" s="29">
        <f t="shared" si="385"/>
        <v>0</v>
      </c>
      <c r="Q426" s="89"/>
    </row>
    <row r="427" spans="1:17">
      <c r="A427" s="18" t="s">
        <v>278</v>
      </c>
      <c r="B427" s="4"/>
      <c r="C427" s="4"/>
      <c r="D427" s="4"/>
      <c r="E427" s="4"/>
      <c r="F427" s="4"/>
      <c r="G427" s="4"/>
      <c r="H427" s="58"/>
      <c r="I427" s="5"/>
      <c r="J427" s="5"/>
      <c r="K427" s="5"/>
      <c r="L427" s="5"/>
      <c r="M427" s="5"/>
      <c r="N427" s="5"/>
      <c r="O427" s="5"/>
      <c r="P427" s="5"/>
      <c r="Q427" s="4"/>
    </row>
    <row r="428" spans="1:17">
      <c r="A428" s="4"/>
      <c r="B428" s="4"/>
      <c r="C428" s="4"/>
      <c r="D428" s="4"/>
      <c r="E428" s="4"/>
      <c r="F428" s="4"/>
      <c r="G428" s="4"/>
      <c r="H428" s="58"/>
      <c r="I428" s="9">
        <f>+L376</f>
        <v>0</v>
      </c>
      <c r="J428" s="4"/>
      <c r="K428" s="4"/>
      <c r="L428" s="9">
        <f>+I428+J428-K428</f>
        <v>0</v>
      </c>
      <c r="M428" s="4"/>
      <c r="N428" s="9">
        <f>+M428</f>
        <v>0</v>
      </c>
      <c r="O428" s="9"/>
      <c r="P428" s="9"/>
      <c r="Q428" s="4"/>
    </row>
    <row r="429" spans="1:17">
      <c r="A429" s="89"/>
      <c r="B429" s="89"/>
      <c r="C429" s="89"/>
      <c r="D429" s="89"/>
      <c r="E429" s="89"/>
      <c r="F429" s="89"/>
      <c r="G429" s="89"/>
      <c r="H429" s="90"/>
      <c r="I429" s="29">
        <f>+I428</f>
        <v>0</v>
      </c>
      <c r="J429" s="29">
        <f t="shared" ref="J429:P429" si="386">+J428</f>
        <v>0</v>
      </c>
      <c r="K429" s="29">
        <f t="shared" si="386"/>
        <v>0</v>
      </c>
      <c r="L429" s="29">
        <f t="shared" si="386"/>
        <v>0</v>
      </c>
      <c r="M429" s="29">
        <f t="shared" si="386"/>
        <v>0</v>
      </c>
      <c r="N429" s="29">
        <f t="shared" si="386"/>
        <v>0</v>
      </c>
      <c r="O429" s="29">
        <f t="shared" si="386"/>
        <v>0</v>
      </c>
      <c r="P429" s="29">
        <f t="shared" si="386"/>
        <v>0</v>
      </c>
      <c r="Q429" s="89"/>
    </row>
    <row r="430" spans="1:17">
      <c r="A430" s="18" t="s">
        <v>279</v>
      </c>
      <c r="B430" s="4"/>
      <c r="C430" s="4"/>
      <c r="D430" s="4"/>
      <c r="E430" s="4"/>
      <c r="F430" s="4"/>
      <c r="G430" s="4"/>
      <c r="H430" s="58"/>
      <c r="I430" s="4"/>
      <c r="J430" s="4"/>
      <c r="K430" s="4"/>
      <c r="L430" s="4"/>
      <c r="M430" s="4"/>
      <c r="N430" s="4"/>
      <c r="O430" s="4"/>
      <c r="P430" s="4"/>
      <c r="Q430" s="4"/>
    </row>
    <row r="431" spans="1:17">
      <c r="A431" s="4"/>
      <c r="B431" s="4" t="s">
        <v>280</v>
      </c>
      <c r="C431" s="4"/>
      <c r="D431" s="4"/>
      <c r="E431" s="4"/>
      <c r="F431" s="233" t="s">
        <v>477</v>
      </c>
      <c r="G431" s="233" t="s">
        <v>483</v>
      </c>
      <c r="H431" s="233" t="s">
        <v>489</v>
      </c>
      <c r="I431" s="9">
        <f t="shared" ref="I431:I446" si="387">+L379</f>
        <v>4727.9099999999989</v>
      </c>
      <c r="J431" s="9">
        <v>1151.98</v>
      </c>
      <c r="K431" s="4">
        <v>454.71</v>
      </c>
      <c r="L431" s="9">
        <f t="shared" ref="L431:L435" si="388">+I431+J431-K431</f>
        <v>5425.1799999999994</v>
      </c>
      <c r="M431" s="9">
        <v>571.75</v>
      </c>
      <c r="N431" s="9">
        <f t="shared" ref="N431:N452" si="389">+M431</f>
        <v>571.75</v>
      </c>
      <c r="O431" s="9"/>
      <c r="P431" s="9"/>
      <c r="Q431" s="4"/>
    </row>
    <row r="432" spans="1:17">
      <c r="A432" s="4"/>
      <c r="B432" s="4" t="s">
        <v>281</v>
      </c>
      <c r="C432" s="4"/>
      <c r="D432" s="4"/>
      <c r="E432" s="4"/>
      <c r="F432" s="233" t="s">
        <v>477</v>
      </c>
      <c r="G432" s="233" t="s">
        <v>484</v>
      </c>
      <c r="H432" s="233" t="s">
        <v>490</v>
      </c>
      <c r="I432" s="9">
        <f t="shared" si="387"/>
        <v>5092.09</v>
      </c>
      <c r="J432" s="9">
        <v>646.30999999999995</v>
      </c>
      <c r="K432" s="9">
        <v>155.33000000000001</v>
      </c>
      <c r="L432" s="9">
        <f t="shared" si="388"/>
        <v>5583.07</v>
      </c>
      <c r="M432" s="9">
        <v>587</v>
      </c>
      <c r="N432" s="9">
        <f t="shared" si="389"/>
        <v>587</v>
      </c>
      <c r="O432" s="9"/>
      <c r="P432" s="9"/>
      <c r="Q432" s="4"/>
    </row>
    <row r="433" spans="1:17">
      <c r="A433" s="4"/>
      <c r="B433" s="4" t="s">
        <v>285</v>
      </c>
      <c r="C433" s="4"/>
      <c r="D433" s="4"/>
      <c r="E433" s="4"/>
      <c r="F433" s="233" t="s">
        <v>478</v>
      </c>
      <c r="G433" s="233" t="s">
        <v>485</v>
      </c>
      <c r="H433" s="234">
        <v>0.1075</v>
      </c>
      <c r="I433" s="9">
        <f t="shared" si="387"/>
        <v>0</v>
      </c>
      <c r="J433" s="9"/>
      <c r="K433" s="4"/>
      <c r="L433" s="9">
        <f t="shared" si="388"/>
        <v>0</v>
      </c>
      <c r="M433" s="9">
        <f>+((I433+L433)/2)*10/100</f>
        <v>0</v>
      </c>
      <c r="N433" s="9">
        <f t="shared" si="389"/>
        <v>0</v>
      </c>
      <c r="O433" s="9"/>
      <c r="P433" s="9"/>
      <c r="Q433" s="4"/>
    </row>
    <row r="434" spans="1:17">
      <c r="A434" s="4"/>
      <c r="B434" s="4" t="s">
        <v>286</v>
      </c>
      <c r="C434" s="4"/>
      <c r="D434" s="4"/>
      <c r="E434" s="4"/>
      <c r="F434" s="233" t="s">
        <v>479</v>
      </c>
      <c r="G434" s="233" t="s">
        <v>479</v>
      </c>
      <c r="H434" s="233" t="s">
        <v>479</v>
      </c>
      <c r="I434" s="9">
        <f t="shared" si="387"/>
        <v>0</v>
      </c>
      <c r="J434" s="9"/>
      <c r="K434" s="9"/>
      <c r="L434" s="9">
        <f t="shared" si="388"/>
        <v>0</v>
      </c>
      <c r="M434" s="9">
        <f t="shared" ref="M434:M452" si="390">+((I434+L434)/2)*10/100</f>
        <v>0</v>
      </c>
      <c r="N434" s="9">
        <f t="shared" si="389"/>
        <v>0</v>
      </c>
      <c r="O434" s="9"/>
      <c r="P434" s="9"/>
      <c r="Q434" s="4"/>
    </row>
    <row r="435" spans="1:17">
      <c r="A435" s="4"/>
      <c r="B435" s="4" t="s">
        <v>287</v>
      </c>
      <c r="C435" s="4"/>
      <c r="D435" s="4"/>
      <c r="E435" s="4"/>
      <c r="F435" s="233" t="s">
        <v>480</v>
      </c>
      <c r="G435" s="233" t="s">
        <v>486</v>
      </c>
      <c r="H435" s="234">
        <v>0.11</v>
      </c>
      <c r="I435" s="9">
        <f t="shared" si="387"/>
        <v>19.160000000000004</v>
      </c>
      <c r="J435" s="9"/>
      <c r="K435" s="4">
        <v>7.13</v>
      </c>
      <c r="L435" s="9">
        <f t="shared" si="388"/>
        <v>12.030000000000005</v>
      </c>
      <c r="M435" s="9">
        <v>1.65</v>
      </c>
      <c r="N435" s="9">
        <f t="shared" si="389"/>
        <v>1.65</v>
      </c>
      <c r="O435" s="9"/>
      <c r="P435" s="9"/>
      <c r="Q435" s="4"/>
    </row>
    <row r="436" spans="1:17">
      <c r="A436" s="4"/>
      <c r="B436" s="4" t="s">
        <v>371</v>
      </c>
      <c r="C436" s="4"/>
      <c r="D436" s="4"/>
      <c r="E436" s="4"/>
      <c r="F436" s="233" t="s">
        <v>480</v>
      </c>
      <c r="G436" s="233" t="s">
        <v>486</v>
      </c>
      <c r="H436" s="234">
        <v>0.1115</v>
      </c>
      <c r="I436" s="9">
        <f t="shared" si="387"/>
        <v>0</v>
      </c>
      <c r="J436" s="9"/>
      <c r="K436" s="4"/>
      <c r="L436" s="9">
        <f>+I436+J436-K436</f>
        <v>0</v>
      </c>
      <c r="M436" s="9">
        <f t="shared" si="390"/>
        <v>0</v>
      </c>
      <c r="N436" s="9">
        <f t="shared" si="389"/>
        <v>0</v>
      </c>
      <c r="O436" s="9"/>
      <c r="P436" s="9"/>
      <c r="Q436" s="4"/>
    </row>
    <row r="437" spans="1:17">
      <c r="A437" s="4"/>
      <c r="B437" s="4" t="s">
        <v>288</v>
      </c>
      <c r="C437" s="4"/>
      <c r="D437" s="4"/>
      <c r="E437" s="4"/>
      <c r="F437" s="233" t="s">
        <v>481</v>
      </c>
      <c r="G437" s="233" t="s">
        <v>479</v>
      </c>
      <c r="H437" s="233" t="s">
        <v>479</v>
      </c>
      <c r="I437" s="9">
        <f t="shared" si="387"/>
        <v>0</v>
      </c>
      <c r="J437" s="9"/>
      <c r="K437" s="4"/>
      <c r="L437" s="9">
        <f t="shared" ref="L437:L450" si="391">+I437+J437-K437</f>
        <v>0</v>
      </c>
      <c r="M437" s="9">
        <f t="shared" si="390"/>
        <v>0</v>
      </c>
      <c r="N437" s="9">
        <f t="shared" si="389"/>
        <v>0</v>
      </c>
      <c r="O437" s="9"/>
      <c r="P437" s="9"/>
      <c r="Q437" s="4"/>
    </row>
    <row r="438" spans="1:17">
      <c r="A438" s="4"/>
      <c r="B438" s="4" t="s">
        <v>289</v>
      </c>
      <c r="C438" s="4"/>
      <c r="D438" s="4"/>
      <c r="E438" s="4"/>
      <c r="F438" s="233" t="s">
        <v>480</v>
      </c>
      <c r="G438" s="233" t="s">
        <v>486</v>
      </c>
      <c r="H438" s="234">
        <v>9.5000000000000001E-2</v>
      </c>
      <c r="I438" s="9">
        <f t="shared" si="387"/>
        <v>2.8100000000000023</v>
      </c>
      <c r="J438" s="9"/>
      <c r="K438" s="4">
        <v>1.34</v>
      </c>
      <c r="L438" s="9">
        <f t="shared" si="391"/>
        <v>1.4700000000000022</v>
      </c>
      <c r="M438" s="9">
        <v>0.19</v>
      </c>
      <c r="N438" s="9">
        <f t="shared" si="389"/>
        <v>0.19</v>
      </c>
      <c r="O438" s="9"/>
      <c r="P438" s="9"/>
      <c r="Q438" s="4"/>
    </row>
    <row r="439" spans="1:17">
      <c r="A439" s="4"/>
      <c r="B439" s="4" t="s">
        <v>290</v>
      </c>
      <c r="C439" s="4"/>
      <c r="D439" s="4"/>
      <c r="E439" s="4"/>
      <c r="F439" s="233" t="s">
        <v>480</v>
      </c>
      <c r="G439" s="233" t="s">
        <v>486</v>
      </c>
      <c r="H439" s="234">
        <v>0.11</v>
      </c>
      <c r="I439" s="9">
        <f t="shared" si="387"/>
        <v>0</v>
      </c>
      <c r="J439" s="9"/>
      <c r="K439" s="4"/>
      <c r="L439" s="9">
        <f t="shared" si="391"/>
        <v>0</v>
      </c>
      <c r="M439" s="9">
        <f t="shared" si="390"/>
        <v>0</v>
      </c>
      <c r="N439" s="9">
        <f t="shared" si="389"/>
        <v>0</v>
      </c>
      <c r="O439" s="9"/>
      <c r="P439" s="9"/>
      <c r="Q439" s="4"/>
    </row>
    <row r="440" spans="1:17">
      <c r="A440" s="4"/>
      <c r="B440" s="4" t="s">
        <v>291</v>
      </c>
      <c r="C440" s="4"/>
      <c r="D440" s="4"/>
      <c r="E440" s="4"/>
      <c r="F440" s="233" t="s">
        <v>482</v>
      </c>
      <c r="G440" s="233" t="s">
        <v>486</v>
      </c>
      <c r="H440" s="234">
        <v>0.11</v>
      </c>
      <c r="I440" s="9">
        <f t="shared" si="387"/>
        <v>0</v>
      </c>
      <c r="J440" s="9"/>
      <c r="K440" s="4"/>
      <c r="L440" s="9">
        <f t="shared" si="391"/>
        <v>0</v>
      </c>
      <c r="M440" s="9">
        <f t="shared" si="390"/>
        <v>0</v>
      </c>
      <c r="N440" s="9">
        <f t="shared" si="389"/>
        <v>0</v>
      </c>
      <c r="O440" s="9"/>
      <c r="P440" s="9"/>
      <c r="Q440" s="4"/>
    </row>
    <row r="441" spans="1:17">
      <c r="A441" s="4"/>
      <c r="B441" s="4" t="s">
        <v>292</v>
      </c>
      <c r="C441" s="4"/>
      <c r="D441" s="4"/>
      <c r="E441" s="4"/>
      <c r="F441" s="233" t="s">
        <v>480</v>
      </c>
      <c r="G441" s="233" t="s">
        <v>479</v>
      </c>
      <c r="H441" s="233" t="s">
        <v>479</v>
      </c>
      <c r="I441" s="9">
        <f t="shared" si="387"/>
        <v>0</v>
      </c>
      <c r="J441" s="9"/>
      <c r="K441" s="4"/>
      <c r="L441" s="9">
        <f t="shared" si="391"/>
        <v>0</v>
      </c>
      <c r="M441" s="9">
        <f t="shared" si="390"/>
        <v>0</v>
      </c>
      <c r="N441" s="9">
        <f t="shared" si="389"/>
        <v>0</v>
      </c>
      <c r="O441" s="9"/>
      <c r="P441" s="9"/>
      <c r="Q441" s="4"/>
    </row>
    <row r="442" spans="1:17">
      <c r="A442" s="4"/>
      <c r="B442" s="4" t="s">
        <v>293</v>
      </c>
      <c r="C442" s="4"/>
      <c r="D442" s="4"/>
      <c r="E442" s="4"/>
      <c r="F442" s="233" t="s">
        <v>480</v>
      </c>
      <c r="G442" s="233" t="s">
        <v>487</v>
      </c>
      <c r="H442" s="234">
        <v>0.107</v>
      </c>
      <c r="I442" s="9">
        <f t="shared" si="387"/>
        <v>0</v>
      </c>
      <c r="J442" s="9"/>
      <c r="K442" s="4"/>
      <c r="L442" s="9">
        <f t="shared" si="391"/>
        <v>0</v>
      </c>
      <c r="M442" s="9">
        <f t="shared" si="390"/>
        <v>0</v>
      </c>
      <c r="N442" s="9">
        <f t="shared" si="389"/>
        <v>0</v>
      </c>
      <c r="O442" s="9"/>
      <c r="P442" s="9"/>
      <c r="Q442" s="4"/>
    </row>
    <row r="443" spans="1:17">
      <c r="A443" s="4"/>
      <c r="B443" s="4" t="s">
        <v>294</v>
      </c>
      <c r="C443" s="4"/>
      <c r="D443" s="4"/>
      <c r="E443" s="4"/>
      <c r="F443" s="233" t="s">
        <v>480</v>
      </c>
      <c r="G443" s="233" t="s">
        <v>486</v>
      </c>
      <c r="H443" s="234">
        <v>0.1115</v>
      </c>
      <c r="I443" s="9">
        <f t="shared" si="387"/>
        <v>0</v>
      </c>
      <c r="J443" s="9"/>
      <c r="K443" s="4"/>
      <c r="L443" s="9">
        <f t="shared" si="391"/>
        <v>0</v>
      </c>
      <c r="M443" s="9">
        <f t="shared" si="390"/>
        <v>0</v>
      </c>
      <c r="N443" s="9">
        <f t="shared" si="389"/>
        <v>0</v>
      </c>
      <c r="O443" s="9"/>
      <c r="P443" s="9"/>
      <c r="Q443" s="4"/>
    </row>
    <row r="444" spans="1:17">
      <c r="A444" s="4"/>
      <c r="B444" s="4" t="s">
        <v>295</v>
      </c>
      <c r="C444" s="4"/>
      <c r="D444" s="4"/>
      <c r="E444" s="4"/>
      <c r="F444" s="233" t="s">
        <v>480</v>
      </c>
      <c r="G444" s="233" t="s">
        <v>487</v>
      </c>
      <c r="H444" s="234">
        <v>0.1115</v>
      </c>
      <c r="I444" s="9">
        <f t="shared" si="387"/>
        <v>0</v>
      </c>
      <c r="J444" s="9"/>
      <c r="K444" s="4"/>
      <c r="L444" s="9">
        <f t="shared" si="391"/>
        <v>0</v>
      </c>
      <c r="M444" s="9">
        <f t="shared" si="390"/>
        <v>0</v>
      </c>
      <c r="N444" s="9">
        <f t="shared" si="389"/>
        <v>0</v>
      </c>
      <c r="O444" s="9"/>
      <c r="P444" s="9"/>
      <c r="Q444" s="4"/>
    </row>
    <row r="445" spans="1:17">
      <c r="A445" s="4"/>
      <c r="B445" s="4" t="s">
        <v>296</v>
      </c>
      <c r="C445" s="4"/>
      <c r="D445" s="4"/>
      <c r="E445" s="4"/>
      <c r="F445" s="233" t="s">
        <v>480</v>
      </c>
      <c r="G445" s="233" t="s">
        <v>487</v>
      </c>
      <c r="H445" s="234">
        <v>0.1125</v>
      </c>
      <c r="I445" s="9">
        <f t="shared" si="387"/>
        <v>0</v>
      </c>
      <c r="J445" s="9"/>
      <c r="K445" s="4"/>
      <c r="L445" s="9">
        <f t="shared" si="391"/>
        <v>0</v>
      </c>
      <c r="M445" s="9">
        <f t="shared" si="390"/>
        <v>0</v>
      </c>
      <c r="N445" s="9">
        <f t="shared" si="389"/>
        <v>0</v>
      </c>
      <c r="O445" s="9"/>
      <c r="P445" s="9"/>
      <c r="Q445" s="4"/>
    </row>
    <row r="446" spans="1:17">
      <c r="A446" s="4"/>
      <c r="B446" s="4" t="s">
        <v>297</v>
      </c>
      <c r="C446" s="4"/>
      <c r="D446" s="4"/>
      <c r="E446" s="4"/>
      <c r="F446" s="233" t="s">
        <v>480</v>
      </c>
      <c r="G446" s="233" t="s">
        <v>486</v>
      </c>
      <c r="H446" s="234">
        <v>0.1115</v>
      </c>
      <c r="I446" s="9">
        <f t="shared" si="387"/>
        <v>0</v>
      </c>
      <c r="J446" s="9"/>
      <c r="K446" s="4"/>
      <c r="L446" s="9">
        <f t="shared" si="391"/>
        <v>0</v>
      </c>
      <c r="M446" s="9">
        <f t="shared" si="390"/>
        <v>0</v>
      </c>
      <c r="N446" s="9">
        <f t="shared" si="389"/>
        <v>0</v>
      </c>
      <c r="O446" s="9"/>
      <c r="P446" s="9"/>
      <c r="Q446" s="4"/>
    </row>
    <row r="447" spans="1:17">
      <c r="A447" s="4"/>
      <c r="B447" s="200" t="s">
        <v>469</v>
      </c>
      <c r="C447" s="4"/>
      <c r="D447" s="4"/>
      <c r="E447" s="4"/>
      <c r="F447" s="233" t="s">
        <v>479</v>
      </c>
      <c r="G447" s="233" t="s">
        <v>479</v>
      </c>
      <c r="H447" s="233" t="s">
        <v>479</v>
      </c>
      <c r="I447" s="9">
        <f t="shared" ref="I447" si="392">+L395</f>
        <v>0</v>
      </c>
      <c r="J447" s="9"/>
      <c r="K447" s="4"/>
      <c r="L447" s="9">
        <f t="shared" si="391"/>
        <v>0</v>
      </c>
      <c r="M447" s="9">
        <f t="shared" si="390"/>
        <v>0</v>
      </c>
      <c r="N447" s="9">
        <f t="shared" si="389"/>
        <v>0</v>
      </c>
      <c r="O447" s="9"/>
      <c r="P447" s="9"/>
      <c r="Q447" s="4"/>
    </row>
    <row r="448" spans="1:17">
      <c r="A448" s="4"/>
      <c r="B448" s="4" t="s">
        <v>298</v>
      </c>
      <c r="C448" s="4"/>
      <c r="D448" s="4"/>
      <c r="E448" s="4"/>
      <c r="F448" s="233" t="s">
        <v>480</v>
      </c>
      <c r="G448" s="233" t="s">
        <v>486</v>
      </c>
      <c r="H448" s="234">
        <v>0.1095</v>
      </c>
      <c r="I448" s="9">
        <f t="shared" ref="I448:I452" si="393">+L396</f>
        <v>10.420000000000002</v>
      </c>
      <c r="J448" s="9"/>
      <c r="K448" s="4">
        <v>8.34</v>
      </c>
      <c r="L448" s="9">
        <f t="shared" si="391"/>
        <v>2.0800000000000018</v>
      </c>
      <c r="M448" s="9">
        <v>0.71</v>
      </c>
      <c r="N448" s="9">
        <f t="shared" si="389"/>
        <v>0.71</v>
      </c>
      <c r="O448" s="9"/>
      <c r="P448" s="9"/>
      <c r="Q448" s="4"/>
    </row>
    <row r="449" spans="1:17">
      <c r="A449" s="4"/>
      <c r="B449" s="4" t="s">
        <v>299</v>
      </c>
      <c r="C449" s="4"/>
      <c r="D449" s="4"/>
      <c r="E449" s="4"/>
      <c r="F449" s="233" t="s">
        <v>477</v>
      </c>
      <c r="G449" s="233" t="s">
        <v>488</v>
      </c>
      <c r="H449" s="234">
        <v>0.1075</v>
      </c>
      <c r="I449" s="9">
        <f t="shared" si="393"/>
        <v>48.909999999999982</v>
      </c>
      <c r="J449" s="9"/>
      <c r="K449" s="4">
        <v>6.34</v>
      </c>
      <c r="L449" s="9">
        <f t="shared" si="391"/>
        <v>42.569999999999979</v>
      </c>
      <c r="M449" s="9">
        <v>4.33</v>
      </c>
      <c r="N449" s="9">
        <f t="shared" si="389"/>
        <v>4.33</v>
      </c>
      <c r="O449" s="9"/>
      <c r="P449" s="9"/>
      <c r="Q449" s="4"/>
    </row>
    <row r="450" spans="1:17">
      <c r="A450" s="4"/>
      <c r="B450" s="4" t="s">
        <v>300</v>
      </c>
      <c r="C450" s="4"/>
      <c r="D450" s="4"/>
      <c r="E450" s="4"/>
      <c r="F450" s="233" t="s">
        <v>480</v>
      </c>
      <c r="G450" s="233" t="s">
        <v>486</v>
      </c>
      <c r="H450" s="234">
        <v>0.115</v>
      </c>
      <c r="I450" s="9">
        <f t="shared" si="393"/>
        <v>0</v>
      </c>
      <c r="J450" s="9"/>
      <c r="K450" s="4"/>
      <c r="L450" s="9">
        <f t="shared" si="391"/>
        <v>0</v>
      </c>
      <c r="M450" s="9">
        <f t="shared" si="390"/>
        <v>0</v>
      </c>
      <c r="N450" s="9">
        <f t="shared" si="389"/>
        <v>0</v>
      </c>
      <c r="O450" s="9"/>
      <c r="P450" s="9"/>
      <c r="Q450" s="4"/>
    </row>
    <row r="451" spans="1:17">
      <c r="A451" s="4"/>
      <c r="B451" s="4" t="s">
        <v>372</v>
      </c>
      <c r="C451" s="4"/>
      <c r="D451" s="4"/>
      <c r="E451" s="4"/>
      <c r="F451" s="233" t="s">
        <v>480</v>
      </c>
      <c r="G451" s="233" t="s">
        <v>487</v>
      </c>
      <c r="H451" s="234">
        <v>9.7500000000000003E-2</v>
      </c>
      <c r="I451" s="9">
        <f t="shared" si="393"/>
        <v>9.19</v>
      </c>
      <c r="J451" s="9"/>
      <c r="K451" s="9">
        <v>2.5099999999999998</v>
      </c>
      <c r="L451" s="9">
        <f>+I451+J451-K451</f>
        <v>6.68</v>
      </c>
      <c r="M451" s="9">
        <v>0.78</v>
      </c>
      <c r="N451" s="9">
        <f t="shared" si="389"/>
        <v>0.78</v>
      </c>
      <c r="O451" s="9"/>
      <c r="P451" s="9"/>
      <c r="Q451" s="4"/>
    </row>
    <row r="452" spans="1:17">
      <c r="A452" s="4"/>
      <c r="B452" s="4" t="s">
        <v>410</v>
      </c>
      <c r="C452" s="4"/>
      <c r="D452" s="4"/>
      <c r="E452" s="4"/>
      <c r="F452" s="233" t="s">
        <v>480</v>
      </c>
      <c r="G452" s="233" t="s">
        <v>486</v>
      </c>
      <c r="H452" s="234">
        <v>0.11</v>
      </c>
      <c r="I452" s="9">
        <f t="shared" si="393"/>
        <v>0</v>
      </c>
      <c r="J452" s="9"/>
      <c r="K452" s="4"/>
      <c r="L452" s="9">
        <f>+I452+J452-K452</f>
        <v>0</v>
      </c>
      <c r="M452" s="9">
        <f t="shared" si="390"/>
        <v>0</v>
      </c>
      <c r="N452" s="9">
        <f t="shared" si="389"/>
        <v>0</v>
      </c>
      <c r="O452" s="9"/>
      <c r="P452" s="9"/>
      <c r="Q452" s="4"/>
    </row>
    <row r="453" spans="1:17">
      <c r="A453" s="89"/>
      <c r="B453" s="89"/>
      <c r="C453" s="89"/>
      <c r="D453" s="89"/>
      <c r="E453" s="89"/>
      <c r="F453" s="89"/>
      <c r="G453" s="89"/>
      <c r="H453" s="90"/>
      <c r="I453" s="29">
        <f>SUM(I431:I452)</f>
        <v>9910.49</v>
      </c>
      <c r="J453" s="29">
        <f t="shared" ref="J453:P453" si="394">SUM(J431:J452)</f>
        <v>1798.29</v>
      </c>
      <c r="K453" s="29">
        <f t="shared" si="394"/>
        <v>635.70000000000005</v>
      </c>
      <c r="L453" s="29">
        <f t="shared" si="394"/>
        <v>11073.08</v>
      </c>
      <c r="M453" s="29">
        <f t="shared" si="394"/>
        <v>1166.4100000000001</v>
      </c>
      <c r="N453" s="29">
        <f t="shared" si="394"/>
        <v>1166.4100000000001</v>
      </c>
      <c r="O453" s="29">
        <f t="shared" si="394"/>
        <v>0</v>
      </c>
      <c r="P453" s="29">
        <f t="shared" si="394"/>
        <v>0</v>
      </c>
      <c r="Q453" s="89"/>
    </row>
    <row r="454" spans="1:17">
      <c r="A454" s="28"/>
      <c r="B454" s="28"/>
      <c r="C454" s="28"/>
      <c r="D454" s="28"/>
      <c r="E454" s="28"/>
      <c r="F454" s="28"/>
      <c r="G454" s="28"/>
      <c r="H454" s="91"/>
      <c r="I454" s="29">
        <f t="shared" ref="I454" si="395">+I423+I426+I429+I453</f>
        <v>9910.49</v>
      </c>
      <c r="J454" s="29">
        <f t="shared" ref="J454" si="396">+J423+J426+J429+J453</f>
        <v>1798.29</v>
      </c>
      <c r="K454" s="29">
        <f t="shared" ref="K454" si="397">+K423+K426+K429+K453</f>
        <v>635.70000000000005</v>
      </c>
      <c r="L454" s="29">
        <f t="shared" ref="L454" si="398">+L423+L426+L429+L453</f>
        <v>11073.08</v>
      </c>
      <c r="M454" s="29">
        <f t="shared" ref="M454" si="399">+M423+M426+M429+M453</f>
        <v>1166.4100000000001</v>
      </c>
      <c r="N454" s="29">
        <f t="shared" ref="N454" si="400">+N423+N426+N429+N453</f>
        <v>1166.4100000000001</v>
      </c>
      <c r="O454" s="29">
        <f t="shared" ref="O454" si="401">+O423+O426+O429+O453</f>
        <v>0</v>
      </c>
      <c r="P454" s="29">
        <f t="shared" ref="P454" si="402">+P423+P426+P429+P453</f>
        <v>0</v>
      </c>
      <c r="Q454" s="28"/>
    </row>
    <row r="455" spans="1:17" ht="15.75">
      <c r="A455" s="92" t="s">
        <v>282</v>
      </c>
      <c r="B455" s="4"/>
      <c r="C455" s="4"/>
      <c r="D455" s="4"/>
      <c r="E455" s="4"/>
      <c r="F455" s="4"/>
      <c r="G455" s="4"/>
      <c r="H455" s="58"/>
      <c r="I455" s="4"/>
      <c r="J455" s="4"/>
      <c r="K455" s="4"/>
      <c r="L455" s="4"/>
      <c r="M455" s="4"/>
      <c r="N455" s="4"/>
      <c r="O455" s="4"/>
      <c r="P455" s="4"/>
      <c r="Q455" s="4"/>
    </row>
    <row r="456" spans="1:17">
      <c r="A456" s="18" t="s">
        <v>276</v>
      </c>
      <c r="B456" s="4"/>
      <c r="C456" s="4"/>
      <c r="D456" s="4"/>
      <c r="E456" s="4"/>
      <c r="F456" s="4"/>
      <c r="G456" s="4"/>
      <c r="H456" s="58"/>
      <c r="I456" s="5"/>
      <c r="J456" s="5"/>
      <c r="K456" s="5"/>
      <c r="L456" s="5"/>
      <c r="M456" s="5"/>
      <c r="N456" s="5"/>
      <c r="O456" s="5"/>
      <c r="P456" s="5"/>
      <c r="Q456" s="4"/>
    </row>
    <row r="457" spans="1:17">
      <c r="A457" s="18"/>
      <c r="B457" s="4"/>
      <c r="C457" s="4"/>
      <c r="D457" s="4"/>
      <c r="E457" s="4"/>
      <c r="F457" s="4"/>
      <c r="G457" s="4"/>
      <c r="H457" s="58"/>
      <c r="I457" s="9">
        <f t="shared" ref="I457" si="403">+L405</f>
        <v>0</v>
      </c>
      <c r="J457" s="5"/>
      <c r="K457" s="36"/>
      <c r="L457" s="9">
        <f>+I457+J457-K457</f>
        <v>0</v>
      </c>
      <c r="M457" s="4"/>
      <c r="N457" s="9">
        <f>+M457</f>
        <v>0</v>
      </c>
      <c r="O457" s="9"/>
      <c r="P457" s="9"/>
      <c r="Q457" s="4"/>
    </row>
    <row r="458" spans="1:17">
      <c r="A458" s="89"/>
      <c r="B458" s="89"/>
      <c r="C458" s="89"/>
      <c r="D458" s="89"/>
      <c r="E458" s="89"/>
      <c r="F458" s="89"/>
      <c r="G458" s="89"/>
      <c r="H458" s="90"/>
      <c r="I458" s="29">
        <f t="shared" ref="I458" si="404">SUM(I457:I457)</f>
        <v>0</v>
      </c>
      <c r="J458" s="29">
        <f t="shared" ref="J458" si="405">SUM(J457:J457)</f>
        <v>0</v>
      </c>
      <c r="K458" s="29">
        <f t="shared" ref="K458" si="406">SUM(K457:K457)</f>
        <v>0</v>
      </c>
      <c r="L458" s="29">
        <f t="shared" ref="L458" si="407">SUM(L457:L457)</f>
        <v>0</v>
      </c>
      <c r="M458" s="29">
        <f t="shared" ref="M458" si="408">SUM(M457:M457)</f>
        <v>0</v>
      </c>
      <c r="N458" s="29">
        <f t="shared" ref="N458" si="409">SUM(N457:N457)</f>
        <v>0</v>
      </c>
      <c r="O458" s="29">
        <f t="shared" ref="O458" si="410">SUM(O457:O457)</f>
        <v>0</v>
      </c>
      <c r="P458" s="29">
        <f t="shared" ref="P458" si="411">SUM(P457:P457)</f>
        <v>0</v>
      </c>
      <c r="Q458" s="89"/>
    </row>
    <row r="459" spans="1:17">
      <c r="A459" s="18" t="s">
        <v>277</v>
      </c>
      <c r="B459" s="4"/>
      <c r="C459" s="4"/>
      <c r="D459" s="4"/>
      <c r="E459" s="4"/>
      <c r="F459" s="4"/>
      <c r="G459" s="4"/>
      <c r="H459" s="58"/>
      <c r="I459" s="5"/>
      <c r="J459" s="5"/>
      <c r="K459" s="5"/>
      <c r="L459" s="5"/>
      <c r="M459" s="5"/>
      <c r="N459" s="5"/>
      <c r="O459" s="5"/>
      <c r="P459" s="5"/>
      <c r="Q459" s="4"/>
    </row>
    <row r="460" spans="1:17">
      <c r="A460" s="4"/>
      <c r="B460" s="4"/>
      <c r="C460" s="4"/>
      <c r="D460" s="4"/>
      <c r="E460" s="4"/>
      <c r="F460" s="4"/>
      <c r="G460" s="4"/>
      <c r="H460" s="58"/>
      <c r="I460" s="9">
        <f t="shared" ref="I460" si="412">+L408</f>
        <v>0</v>
      </c>
      <c r="J460" s="4"/>
      <c r="K460" s="4"/>
      <c r="L460" s="9">
        <f>+I460+J460-K460</f>
        <v>0</v>
      </c>
      <c r="M460" s="4"/>
      <c r="N460" s="9">
        <f>+M460</f>
        <v>0</v>
      </c>
      <c r="O460" s="9"/>
      <c r="P460" s="9"/>
      <c r="Q460" s="4"/>
    </row>
    <row r="461" spans="1:17">
      <c r="A461" s="89"/>
      <c r="B461" s="89"/>
      <c r="C461" s="89"/>
      <c r="D461" s="89"/>
      <c r="E461" s="89"/>
      <c r="F461" s="89"/>
      <c r="G461" s="89"/>
      <c r="H461" s="90"/>
      <c r="I461" s="29">
        <f>+I460</f>
        <v>0</v>
      </c>
      <c r="J461" s="29">
        <f t="shared" ref="J461:P461" si="413">+J460</f>
        <v>0</v>
      </c>
      <c r="K461" s="29">
        <f t="shared" si="413"/>
        <v>0</v>
      </c>
      <c r="L461" s="29">
        <f t="shared" si="413"/>
        <v>0</v>
      </c>
      <c r="M461" s="29">
        <f t="shared" si="413"/>
        <v>0</v>
      </c>
      <c r="N461" s="29">
        <f t="shared" si="413"/>
        <v>0</v>
      </c>
      <c r="O461" s="29">
        <f t="shared" si="413"/>
        <v>0</v>
      </c>
      <c r="P461" s="29">
        <f t="shared" si="413"/>
        <v>0</v>
      </c>
      <c r="Q461" s="89"/>
    </row>
    <row r="462" spans="1:17">
      <c r="A462" s="18" t="s">
        <v>278</v>
      </c>
      <c r="B462" s="4"/>
      <c r="C462" s="4"/>
      <c r="D462" s="4"/>
      <c r="E462" s="4"/>
      <c r="F462" s="4"/>
      <c r="G462" s="4"/>
      <c r="H462" s="58"/>
      <c r="I462" s="5"/>
      <c r="J462" s="5"/>
      <c r="K462" s="5"/>
      <c r="L462" s="5"/>
      <c r="M462" s="5"/>
      <c r="N462" s="5"/>
      <c r="O462" s="5"/>
      <c r="P462" s="5"/>
      <c r="Q462" s="4"/>
    </row>
    <row r="463" spans="1:17">
      <c r="A463" s="4"/>
      <c r="B463" s="200" t="s">
        <v>476</v>
      </c>
      <c r="C463" s="4"/>
      <c r="D463" s="4"/>
      <c r="E463" s="4"/>
      <c r="F463" s="4"/>
      <c r="G463" s="4"/>
      <c r="H463" s="58"/>
      <c r="I463" s="9">
        <f t="shared" ref="I463" si="414">+L411</f>
        <v>444.36</v>
      </c>
      <c r="J463" s="4"/>
      <c r="K463" s="9">
        <v>48.64</v>
      </c>
      <c r="L463" s="9">
        <f>+I463+J463-K463</f>
        <v>395.72</v>
      </c>
      <c r="M463" s="9">
        <v>42.21</v>
      </c>
      <c r="N463" s="9">
        <f>+M463</f>
        <v>42.21</v>
      </c>
      <c r="O463" s="9"/>
      <c r="P463" s="9"/>
      <c r="Q463" s="4"/>
    </row>
    <row r="464" spans="1:17">
      <c r="A464" s="89"/>
      <c r="B464" s="89"/>
      <c r="C464" s="89"/>
      <c r="D464" s="89"/>
      <c r="E464" s="89"/>
      <c r="F464" s="89"/>
      <c r="G464" s="89"/>
      <c r="H464" s="90"/>
      <c r="I464" s="29">
        <f>+I463</f>
        <v>444.36</v>
      </c>
      <c r="J464" s="29">
        <f t="shared" ref="J464:P464" si="415">+J463</f>
        <v>0</v>
      </c>
      <c r="K464" s="29">
        <f t="shared" si="415"/>
        <v>48.64</v>
      </c>
      <c r="L464" s="29">
        <f t="shared" si="415"/>
        <v>395.72</v>
      </c>
      <c r="M464" s="29">
        <f t="shared" si="415"/>
        <v>42.21</v>
      </c>
      <c r="N464" s="29">
        <f t="shared" si="415"/>
        <v>42.21</v>
      </c>
      <c r="O464" s="29">
        <f t="shared" si="415"/>
        <v>0</v>
      </c>
      <c r="P464" s="29">
        <f t="shared" si="415"/>
        <v>0</v>
      </c>
      <c r="Q464" s="89"/>
    </row>
    <row r="465" spans="1:17">
      <c r="A465" s="4"/>
      <c r="B465" s="4" t="s">
        <v>383</v>
      </c>
      <c r="C465" s="4"/>
      <c r="D465" s="4"/>
      <c r="E465" s="4"/>
      <c r="F465" s="4"/>
      <c r="G465" s="4"/>
      <c r="H465" s="58"/>
      <c r="I465" s="9">
        <f t="shared" ref="I465" si="416">+L413</f>
        <v>0</v>
      </c>
      <c r="J465" s="4"/>
      <c r="K465" s="4"/>
      <c r="L465" s="9">
        <f>+I465+J465-K465</f>
        <v>0</v>
      </c>
      <c r="M465" s="4"/>
      <c r="N465" s="9">
        <f>+M465</f>
        <v>0</v>
      </c>
      <c r="O465" s="9"/>
      <c r="P465" s="9"/>
      <c r="Q465" s="4"/>
    </row>
    <row r="466" spans="1:17">
      <c r="A466" s="89"/>
      <c r="B466" s="89"/>
      <c r="C466" s="89"/>
      <c r="D466" s="89"/>
      <c r="E466" s="89"/>
      <c r="F466" s="89"/>
      <c r="G466" s="89"/>
      <c r="H466" s="90"/>
      <c r="I466" s="29">
        <f>+I465</f>
        <v>0</v>
      </c>
      <c r="J466" s="29">
        <f t="shared" ref="J466" si="417">+J465</f>
        <v>0</v>
      </c>
      <c r="K466" s="29">
        <f t="shared" ref="K466" si="418">+K465</f>
        <v>0</v>
      </c>
      <c r="L466" s="29">
        <f t="shared" ref="L466" si="419">+L465</f>
        <v>0</v>
      </c>
      <c r="M466" s="29">
        <f t="shared" ref="M466" si="420">+M465</f>
        <v>0</v>
      </c>
      <c r="N466" s="29">
        <f t="shared" ref="N466" si="421">+N465</f>
        <v>0</v>
      </c>
      <c r="O466" s="29">
        <f t="shared" ref="O466" si="422">+O465</f>
        <v>0</v>
      </c>
      <c r="P466" s="29">
        <f t="shared" ref="P466" si="423">+P465</f>
        <v>0</v>
      </c>
      <c r="Q466" s="89"/>
    </row>
    <row r="467" spans="1:17">
      <c r="A467" s="89"/>
      <c r="B467" s="89"/>
      <c r="C467" s="89"/>
      <c r="D467" s="89"/>
      <c r="E467" s="89"/>
      <c r="F467" s="89"/>
      <c r="G467" s="89"/>
      <c r="H467" s="90"/>
      <c r="I467" s="29">
        <f>+I466+I464+I461+I458</f>
        <v>444.36</v>
      </c>
      <c r="J467" s="29">
        <f t="shared" ref="J467" si="424">+J466+J464+J461+J458</f>
        <v>0</v>
      </c>
      <c r="K467" s="29">
        <f t="shared" ref="K467" si="425">+K466+K464+K461+K458</f>
        <v>48.64</v>
      </c>
      <c r="L467" s="29">
        <f t="shared" ref="L467" si="426">+L466+L464+L461+L458</f>
        <v>395.72</v>
      </c>
      <c r="M467" s="29">
        <f t="shared" ref="M467" si="427">+M466+M464+M461+M458</f>
        <v>42.21</v>
      </c>
      <c r="N467" s="29">
        <f t="shared" ref="N467" si="428">+N466+N464+N461+N458</f>
        <v>42.21</v>
      </c>
      <c r="O467" s="29">
        <f t="shared" ref="O467" si="429">+O466+O464+O461+O458</f>
        <v>0</v>
      </c>
      <c r="P467" s="29">
        <f t="shared" ref="P467" si="430">+P466+P464+P461+P458</f>
        <v>0</v>
      </c>
      <c r="Q467" s="89"/>
    </row>
    <row r="468" spans="1:17">
      <c r="A468" s="28"/>
      <c r="B468" s="28"/>
      <c r="C468" s="28"/>
      <c r="D468" s="28"/>
      <c r="E468" s="28"/>
      <c r="F468" s="28"/>
      <c r="G468" s="28"/>
      <c r="H468" s="91"/>
      <c r="I468" s="29">
        <f>+I467+I454</f>
        <v>10354.85</v>
      </c>
      <c r="J468" s="29">
        <f t="shared" ref="J468" si="431">+J467+J454</f>
        <v>1798.29</v>
      </c>
      <c r="K468" s="29">
        <f t="shared" ref="K468" si="432">+K467+K454</f>
        <v>684.34</v>
      </c>
      <c r="L468" s="29">
        <f t="shared" ref="L468" si="433">+L467+L454</f>
        <v>11468.8</v>
      </c>
      <c r="M468" s="29">
        <f t="shared" ref="M468" si="434">+M467+M454</f>
        <v>1208.6200000000001</v>
      </c>
      <c r="N468" s="29">
        <f t="shared" ref="N468" si="435">+N467+N454</f>
        <v>1208.6200000000001</v>
      </c>
      <c r="O468" s="29">
        <f t="shared" ref="O468" si="436">+O467+O454</f>
        <v>0</v>
      </c>
      <c r="P468" s="29">
        <f t="shared" ref="P468" si="437">+P467+P454</f>
        <v>0</v>
      </c>
      <c r="Q468" s="28"/>
    </row>
    <row r="469" spans="1:17">
      <c r="A469" s="287" t="s">
        <v>272</v>
      </c>
      <c r="B469" s="287"/>
      <c r="C469" s="306" t="s">
        <v>273</v>
      </c>
      <c r="D469" s="306"/>
      <c r="E469" s="306"/>
      <c r="F469" s="306"/>
      <c r="G469" s="306"/>
      <c r="H469" s="306"/>
      <c r="I469" s="306"/>
      <c r="J469" s="306"/>
      <c r="K469" s="306"/>
      <c r="L469" s="306"/>
      <c r="M469" s="306"/>
      <c r="N469" s="306"/>
      <c r="O469" s="306"/>
      <c r="P469" s="306"/>
      <c r="Q469" s="306"/>
    </row>
    <row r="470" spans="1:17" ht="18" customHeight="1">
      <c r="A470" s="304" t="s">
        <v>430</v>
      </c>
      <c r="B470" s="304"/>
      <c r="C470" s="138"/>
      <c r="D470" s="198"/>
      <c r="E470" s="198"/>
      <c r="F470" s="198"/>
      <c r="G470" s="198"/>
      <c r="H470" s="199"/>
      <c r="I470" s="198"/>
      <c r="J470" s="198"/>
      <c r="K470" s="198"/>
      <c r="L470" s="198"/>
      <c r="M470" s="198"/>
      <c r="N470" s="305" t="s">
        <v>467</v>
      </c>
      <c r="O470" s="305"/>
      <c r="P470" s="305"/>
      <c r="Q470" s="198"/>
    </row>
    <row r="471" spans="1:17" ht="56.25">
      <c r="A471" s="111" t="s">
        <v>248</v>
      </c>
      <c r="B471" s="111" t="s">
        <v>302</v>
      </c>
      <c r="C471" s="111" t="s">
        <v>274</v>
      </c>
      <c r="D471" s="111" t="s">
        <v>251</v>
      </c>
      <c r="E471" s="111" t="s">
        <v>275</v>
      </c>
      <c r="F471" s="111" t="s">
        <v>257</v>
      </c>
      <c r="G471" s="111" t="s">
        <v>301</v>
      </c>
      <c r="H471" s="112" t="s">
        <v>258</v>
      </c>
      <c r="I471" s="111" t="s">
        <v>259</v>
      </c>
      <c r="J471" s="111" t="s">
        <v>260</v>
      </c>
      <c r="K471" s="111" t="s">
        <v>261</v>
      </c>
      <c r="L471" s="111" t="s">
        <v>262</v>
      </c>
      <c r="M471" s="111" t="s">
        <v>263</v>
      </c>
      <c r="N471" s="111" t="s">
        <v>264</v>
      </c>
      <c r="O471" s="111" t="s">
        <v>265</v>
      </c>
      <c r="P471" s="111" t="s">
        <v>266</v>
      </c>
      <c r="Q471" s="111" t="s">
        <v>101</v>
      </c>
    </row>
    <row r="472" spans="1:17" ht="15.75">
      <c r="A472" s="92" t="s">
        <v>283</v>
      </c>
      <c r="B472" s="4"/>
      <c r="C472" s="4"/>
      <c r="D472" s="4"/>
      <c r="E472" s="4"/>
      <c r="F472" s="4"/>
      <c r="G472" s="4"/>
      <c r="H472" s="58"/>
      <c r="I472" s="5"/>
      <c r="J472" s="5"/>
      <c r="K472" s="5"/>
      <c r="L472" s="5"/>
      <c r="M472" s="5"/>
      <c r="N472" s="5"/>
      <c r="O472" s="5"/>
      <c r="P472" s="5"/>
      <c r="Q472" s="4"/>
    </row>
    <row r="473" spans="1:17">
      <c r="A473" s="18" t="s">
        <v>276</v>
      </c>
      <c r="B473" s="4"/>
      <c r="C473" s="4"/>
      <c r="D473" s="4"/>
      <c r="E473" s="4"/>
      <c r="F473" s="4"/>
      <c r="G473" s="4"/>
      <c r="H473" s="58"/>
      <c r="I473" s="5"/>
      <c r="J473" s="5"/>
      <c r="K473" s="5"/>
      <c r="L473" s="5"/>
      <c r="M473" s="5"/>
      <c r="N473" s="5"/>
      <c r="O473" s="5"/>
      <c r="P473" s="5"/>
      <c r="Q473" s="4"/>
    </row>
    <row r="474" spans="1:17">
      <c r="A474" s="4"/>
      <c r="B474" s="4"/>
      <c r="C474" s="4"/>
      <c r="D474" s="4"/>
      <c r="E474" s="4"/>
      <c r="F474" s="4"/>
      <c r="G474" s="4"/>
      <c r="H474" s="58"/>
      <c r="I474" s="9">
        <f>+L422</f>
        <v>0</v>
      </c>
      <c r="J474" s="4"/>
      <c r="K474" s="4"/>
      <c r="L474" s="9">
        <f>+I474+J474-K474</f>
        <v>0</v>
      </c>
      <c r="M474" s="4"/>
      <c r="N474" s="9">
        <f>+M474</f>
        <v>0</v>
      </c>
      <c r="O474" s="9"/>
      <c r="P474" s="9"/>
      <c r="Q474" s="4"/>
    </row>
    <row r="475" spans="1:17">
      <c r="A475" s="89"/>
      <c r="B475" s="89"/>
      <c r="C475" s="89"/>
      <c r="D475" s="89"/>
      <c r="E475" s="89"/>
      <c r="F475" s="89"/>
      <c r="G475" s="89"/>
      <c r="H475" s="90"/>
      <c r="I475" s="29">
        <f>+I474</f>
        <v>0</v>
      </c>
      <c r="J475" s="29">
        <f t="shared" ref="J475:P475" si="438">+J474</f>
        <v>0</v>
      </c>
      <c r="K475" s="29">
        <f t="shared" si="438"/>
        <v>0</v>
      </c>
      <c r="L475" s="29">
        <f t="shared" si="438"/>
        <v>0</v>
      </c>
      <c r="M475" s="29">
        <f t="shared" si="438"/>
        <v>0</v>
      </c>
      <c r="N475" s="29">
        <f t="shared" si="438"/>
        <v>0</v>
      </c>
      <c r="O475" s="29">
        <f t="shared" si="438"/>
        <v>0</v>
      </c>
      <c r="P475" s="29">
        <f t="shared" si="438"/>
        <v>0</v>
      </c>
      <c r="Q475" s="89"/>
    </row>
    <row r="476" spans="1:17">
      <c r="A476" s="18" t="s">
        <v>277</v>
      </c>
      <c r="B476" s="4"/>
      <c r="C476" s="4"/>
      <c r="D476" s="4"/>
      <c r="E476" s="4"/>
      <c r="F476" s="4"/>
      <c r="G476" s="4"/>
      <c r="H476" s="58"/>
      <c r="I476" s="5"/>
      <c r="J476" s="5"/>
      <c r="K476" s="5"/>
      <c r="L476" s="5"/>
      <c r="M476" s="5"/>
      <c r="N476" s="5"/>
      <c r="O476" s="5"/>
      <c r="P476" s="5"/>
      <c r="Q476" s="4"/>
    </row>
    <row r="477" spans="1:17">
      <c r="A477" s="4"/>
      <c r="B477" s="4"/>
      <c r="C477" s="4"/>
      <c r="D477" s="4"/>
      <c r="E477" s="4"/>
      <c r="F477" s="4"/>
      <c r="G477" s="4"/>
      <c r="H477" s="58"/>
      <c r="I477" s="9">
        <f>+L425</f>
        <v>0</v>
      </c>
      <c r="J477" s="4"/>
      <c r="K477" s="4"/>
      <c r="L477" s="9">
        <f>+I477+J477-K477</f>
        <v>0</v>
      </c>
      <c r="M477" s="4"/>
      <c r="N477" s="9">
        <f>+M477</f>
        <v>0</v>
      </c>
      <c r="O477" s="9"/>
      <c r="P477" s="9"/>
      <c r="Q477" s="4"/>
    </row>
    <row r="478" spans="1:17">
      <c r="A478" s="89"/>
      <c r="B478" s="89"/>
      <c r="C478" s="89"/>
      <c r="D478" s="89"/>
      <c r="E478" s="89"/>
      <c r="F478" s="89"/>
      <c r="G478" s="89"/>
      <c r="H478" s="90"/>
      <c r="I478" s="29">
        <f>+I477</f>
        <v>0</v>
      </c>
      <c r="J478" s="29">
        <f t="shared" ref="J478:P478" si="439">+J477</f>
        <v>0</v>
      </c>
      <c r="K478" s="29">
        <f t="shared" si="439"/>
        <v>0</v>
      </c>
      <c r="L478" s="29">
        <f t="shared" si="439"/>
        <v>0</v>
      </c>
      <c r="M478" s="29">
        <f t="shared" si="439"/>
        <v>0</v>
      </c>
      <c r="N478" s="29">
        <f t="shared" si="439"/>
        <v>0</v>
      </c>
      <c r="O478" s="29">
        <f t="shared" si="439"/>
        <v>0</v>
      </c>
      <c r="P478" s="29">
        <f t="shared" si="439"/>
        <v>0</v>
      </c>
      <c r="Q478" s="89"/>
    </row>
    <row r="479" spans="1:17">
      <c r="A479" s="18" t="s">
        <v>278</v>
      </c>
      <c r="B479" s="4"/>
      <c r="C479" s="4"/>
      <c r="D479" s="4"/>
      <c r="E479" s="4"/>
      <c r="F479" s="4"/>
      <c r="G479" s="4"/>
      <c r="H479" s="58"/>
      <c r="I479" s="5"/>
      <c r="J479" s="5"/>
      <c r="K479" s="5"/>
      <c r="L479" s="5"/>
      <c r="M479" s="5"/>
      <c r="N479" s="5"/>
      <c r="O479" s="5"/>
      <c r="P479" s="5"/>
      <c r="Q479" s="4"/>
    </row>
    <row r="480" spans="1:17">
      <c r="A480" s="4"/>
      <c r="B480" s="4"/>
      <c r="C480" s="4"/>
      <c r="D480" s="4"/>
      <c r="E480" s="4"/>
      <c r="F480" s="4"/>
      <c r="G480" s="4"/>
      <c r="H480" s="58"/>
      <c r="I480" s="9">
        <f>+L428</f>
        <v>0</v>
      </c>
      <c r="J480" s="4"/>
      <c r="K480" s="4"/>
      <c r="L480" s="9">
        <f>+I480+J480-K480</f>
        <v>0</v>
      </c>
      <c r="M480" s="4"/>
      <c r="N480" s="9">
        <f>+M480</f>
        <v>0</v>
      </c>
      <c r="O480" s="9"/>
      <c r="P480" s="9"/>
      <c r="Q480" s="4"/>
    </row>
    <row r="481" spans="1:17">
      <c r="A481" s="89"/>
      <c r="B481" s="89"/>
      <c r="C481" s="89"/>
      <c r="D481" s="89"/>
      <c r="E481" s="89"/>
      <c r="F481" s="89"/>
      <c r="G481" s="89"/>
      <c r="H481" s="90"/>
      <c r="I481" s="29">
        <f>+I480</f>
        <v>0</v>
      </c>
      <c r="J481" s="29">
        <f t="shared" ref="J481:P481" si="440">+J480</f>
        <v>0</v>
      </c>
      <c r="K481" s="29">
        <f t="shared" si="440"/>
        <v>0</v>
      </c>
      <c r="L481" s="29">
        <f t="shared" si="440"/>
        <v>0</v>
      </c>
      <c r="M481" s="29">
        <f t="shared" si="440"/>
        <v>0</v>
      </c>
      <c r="N481" s="29">
        <f t="shared" si="440"/>
        <v>0</v>
      </c>
      <c r="O481" s="29">
        <f t="shared" si="440"/>
        <v>0</v>
      </c>
      <c r="P481" s="29">
        <f t="shared" si="440"/>
        <v>0</v>
      </c>
      <c r="Q481" s="89"/>
    </row>
    <row r="482" spans="1:17">
      <c r="A482" s="18" t="s">
        <v>279</v>
      </c>
      <c r="B482" s="4"/>
      <c r="C482" s="4"/>
      <c r="D482" s="4"/>
      <c r="E482" s="4"/>
      <c r="F482" s="4"/>
      <c r="G482" s="4"/>
      <c r="H482" s="58"/>
      <c r="I482" s="4"/>
      <c r="J482" s="4"/>
      <c r="K482" s="4"/>
      <c r="L482" s="4"/>
      <c r="M482" s="4"/>
      <c r="N482" s="4"/>
      <c r="O482" s="4"/>
      <c r="P482" s="4"/>
      <c r="Q482" s="4"/>
    </row>
    <row r="483" spans="1:17">
      <c r="A483" s="4"/>
      <c r="B483" s="4" t="s">
        <v>280</v>
      </c>
      <c r="C483" s="4"/>
      <c r="D483" s="4"/>
      <c r="E483" s="4"/>
      <c r="F483" s="233" t="s">
        <v>477</v>
      </c>
      <c r="G483" s="233" t="s">
        <v>483</v>
      </c>
      <c r="H483" s="233" t="s">
        <v>489</v>
      </c>
      <c r="I483" s="9">
        <f t="shared" ref="I483:I498" si="441">+L431</f>
        <v>5425.1799999999994</v>
      </c>
      <c r="J483" s="9">
        <v>751.02</v>
      </c>
      <c r="K483" s="4">
        <v>474.02</v>
      </c>
      <c r="L483" s="9">
        <f t="shared" ref="L483:L487" si="442">+I483+J483-K483</f>
        <v>5702.1799999999985</v>
      </c>
      <c r="M483" s="9">
        <v>626.9</v>
      </c>
      <c r="N483" s="9">
        <f t="shared" ref="N483:N504" si="443">+M483</f>
        <v>626.9</v>
      </c>
      <c r="O483" s="9"/>
      <c r="P483" s="9"/>
      <c r="Q483" s="4"/>
    </row>
    <row r="484" spans="1:17">
      <c r="A484" s="4"/>
      <c r="B484" s="4" t="s">
        <v>281</v>
      </c>
      <c r="C484" s="4"/>
      <c r="D484" s="4"/>
      <c r="E484" s="4"/>
      <c r="F484" s="233" t="s">
        <v>477</v>
      </c>
      <c r="G484" s="233" t="s">
        <v>484</v>
      </c>
      <c r="H484" s="233" t="s">
        <v>490</v>
      </c>
      <c r="I484" s="9">
        <f t="shared" si="441"/>
        <v>5583.07</v>
      </c>
      <c r="J484" s="9">
        <v>336.8</v>
      </c>
      <c r="K484" s="9">
        <v>313.04000000000002</v>
      </c>
      <c r="L484" s="9">
        <f t="shared" si="442"/>
        <v>5606.83</v>
      </c>
      <c r="M484" s="4">
        <v>588.42999999999995</v>
      </c>
      <c r="N484" s="9">
        <f t="shared" si="443"/>
        <v>588.42999999999995</v>
      </c>
      <c r="O484" s="9"/>
      <c r="P484" s="9"/>
      <c r="Q484" s="4"/>
    </row>
    <row r="485" spans="1:17">
      <c r="A485" s="4"/>
      <c r="B485" s="4" t="s">
        <v>285</v>
      </c>
      <c r="C485" s="4"/>
      <c r="D485" s="4"/>
      <c r="E485" s="4"/>
      <c r="F485" s="233" t="s">
        <v>478</v>
      </c>
      <c r="G485" s="233" t="s">
        <v>485</v>
      </c>
      <c r="H485" s="234">
        <v>0.1075</v>
      </c>
      <c r="I485" s="9">
        <f t="shared" si="441"/>
        <v>0</v>
      </c>
      <c r="J485" s="9"/>
      <c r="K485" s="4"/>
      <c r="L485" s="9">
        <f t="shared" si="442"/>
        <v>0</v>
      </c>
      <c r="M485" s="9">
        <f>+((I485+L485)/2)*10/100</f>
        <v>0</v>
      </c>
      <c r="N485" s="9">
        <f t="shared" si="443"/>
        <v>0</v>
      </c>
      <c r="O485" s="9"/>
      <c r="P485" s="9"/>
      <c r="Q485" s="4"/>
    </row>
    <row r="486" spans="1:17">
      <c r="A486" s="4"/>
      <c r="B486" s="4" t="s">
        <v>286</v>
      </c>
      <c r="C486" s="4"/>
      <c r="D486" s="4"/>
      <c r="E486" s="4"/>
      <c r="F486" s="233" t="s">
        <v>479</v>
      </c>
      <c r="G486" s="233" t="s">
        <v>479</v>
      </c>
      <c r="H486" s="233" t="s">
        <v>479</v>
      </c>
      <c r="I486" s="9">
        <f t="shared" si="441"/>
        <v>0</v>
      </c>
      <c r="J486" s="9"/>
      <c r="K486" s="9"/>
      <c r="L486" s="9">
        <f t="shared" si="442"/>
        <v>0</v>
      </c>
      <c r="M486" s="9">
        <f t="shared" ref="M486:M504" si="444">+((I486+L486)/2)*10/100</f>
        <v>0</v>
      </c>
      <c r="N486" s="9">
        <f t="shared" si="443"/>
        <v>0</v>
      </c>
      <c r="O486" s="9"/>
      <c r="P486" s="9"/>
      <c r="Q486" s="4"/>
    </row>
    <row r="487" spans="1:17">
      <c r="A487" s="4"/>
      <c r="B487" s="4" t="s">
        <v>287</v>
      </c>
      <c r="C487" s="4"/>
      <c r="D487" s="4"/>
      <c r="E487" s="4"/>
      <c r="F487" s="233" t="s">
        <v>480</v>
      </c>
      <c r="G487" s="233" t="s">
        <v>486</v>
      </c>
      <c r="H487" s="234">
        <v>0.11</v>
      </c>
      <c r="I487" s="9">
        <f t="shared" si="441"/>
        <v>12.030000000000005</v>
      </c>
      <c r="J487" s="9"/>
      <c r="K487" s="4">
        <v>7.13</v>
      </c>
      <c r="L487" s="9">
        <f t="shared" si="442"/>
        <v>4.9000000000000048</v>
      </c>
      <c r="M487" s="9">
        <v>0.9</v>
      </c>
      <c r="N487" s="9">
        <f t="shared" si="443"/>
        <v>0.9</v>
      </c>
      <c r="O487" s="9"/>
      <c r="P487" s="9"/>
      <c r="Q487" s="4"/>
    </row>
    <row r="488" spans="1:17">
      <c r="A488" s="4"/>
      <c r="B488" s="4" t="s">
        <v>371</v>
      </c>
      <c r="C488" s="4"/>
      <c r="D488" s="4"/>
      <c r="E488" s="4"/>
      <c r="F488" s="233" t="s">
        <v>480</v>
      </c>
      <c r="G488" s="233" t="s">
        <v>486</v>
      </c>
      <c r="H488" s="234">
        <v>0.1115</v>
      </c>
      <c r="I488" s="9">
        <f t="shared" si="441"/>
        <v>0</v>
      </c>
      <c r="J488" s="9"/>
      <c r="K488" s="4"/>
      <c r="L488" s="9">
        <f>+I488+J488-K488</f>
        <v>0</v>
      </c>
      <c r="M488" s="9">
        <f t="shared" si="444"/>
        <v>0</v>
      </c>
      <c r="N488" s="9">
        <f t="shared" si="443"/>
        <v>0</v>
      </c>
      <c r="O488" s="9"/>
      <c r="P488" s="9"/>
      <c r="Q488" s="4"/>
    </row>
    <row r="489" spans="1:17">
      <c r="A489" s="4"/>
      <c r="B489" s="4" t="s">
        <v>288</v>
      </c>
      <c r="C489" s="4"/>
      <c r="D489" s="4"/>
      <c r="E489" s="4"/>
      <c r="F489" s="233" t="s">
        <v>481</v>
      </c>
      <c r="G489" s="233" t="s">
        <v>479</v>
      </c>
      <c r="H489" s="233" t="s">
        <v>479</v>
      </c>
      <c r="I489" s="9">
        <f t="shared" si="441"/>
        <v>0</v>
      </c>
      <c r="J489" s="9"/>
      <c r="K489" s="4"/>
      <c r="L489" s="9">
        <f t="shared" ref="L489:L502" si="445">+I489+J489-K489</f>
        <v>0</v>
      </c>
      <c r="M489" s="9">
        <f t="shared" si="444"/>
        <v>0</v>
      </c>
      <c r="N489" s="9">
        <f t="shared" si="443"/>
        <v>0</v>
      </c>
      <c r="O489" s="9"/>
      <c r="P489" s="9"/>
      <c r="Q489" s="4"/>
    </row>
    <row r="490" spans="1:17">
      <c r="A490" s="4"/>
      <c r="B490" s="4" t="s">
        <v>289</v>
      </c>
      <c r="C490" s="4"/>
      <c r="D490" s="4"/>
      <c r="E490" s="4"/>
      <c r="F490" s="233" t="s">
        <v>480</v>
      </c>
      <c r="G490" s="233" t="s">
        <v>486</v>
      </c>
      <c r="H490" s="234">
        <v>9.5000000000000001E-2</v>
      </c>
      <c r="I490" s="9">
        <f t="shared" si="441"/>
        <v>1.4700000000000022</v>
      </c>
      <c r="J490" s="9"/>
      <c r="K490" s="4">
        <v>1.07</v>
      </c>
      <c r="L490" s="9">
        <f t="shared" si="445"/>
        <v>0.40000000000000213</v>
      </c>
      <c r="M490" s="9">
        <v>0.06</v>
      </c>
      <c r="N490" s="9">
        <f t="shared" si="443"/>
        <v>0.06</v>
      </c>
      <c r="O490" s="9"/>
      <c r="P490" s="9"/>
      <c r="Q490" s="4"/>
    </row>
    <row r="491" spans="1:17">
      <c r="A491" s="4"/>
      <c r="B491" s="4" t="s">
        <v>290</v>
      </c>
      <c r="C491" s="4"/>
      <c r="D491" s="4"/>
      <c r="E491" s="4"/>
      <c r="F491" s="233" t="s">
        <v>480</v>
      </c>
      <c r="G491" s="233" t="s">
        <v>486</v>
      </c>
      <c r="H491" s="234">
        <v>0.11</v>
      </c>
      <c r="I491" s="9">
        <f t="shared" si="441"/>
        <v>0</v>
      </c>
      <c r="J491" s="9"/>
      <c r="K491" s="4"/>
      <c r="L491" s="9">
        <f t="shared" si="445"/>
        <v>0</v>
      </c>
      <c r="M491" s="9">
        <f t="shared" si="444"/>
        <v>0</v>
      </c>
      <c r="N491" s="9">
        <f t="shared" si="443"/>
        <v>0</v>
      </c>
      <c r="O491" s="9"/>
      <c r="P491" s="9"/>
      <c r="Q491" s="4"/>
    </row>
    <row r="492" spans="1:17">
      <c r="A492" s="4"/>
      <c r="B492" s="4" t="s">
        <v>291</v>
      </c>
      <c r="C492" s="4"/>
      <c r="D492" s="4"/>
      <c r="E492" s="4"/>
      <c r="F492" s="233" t="s">
        <v>482</v>
      </c>
      <c r="G492" s="233" t="s">
        <v>486</v>
      </c>
      <c r="H492" s="234">
        <v>0.11</v>
      </c>
      <c r="I492" s="9">
        <f t="shared" si="441"/>
        <v>0</v>
      </c>
      <c r="J492" s="9"/>
      <c r="K492" s="4"/>
      <c r="L492" s="9">
        <f t="shared" si="445"/>
        <v>0</v>
      </c>
      <c r="M492" s="9">
        <f t="shared" si="444"/>
        <v>0</v>
      </c>
      <c r="N492" s="9">
        <f t="shared" si="443"/>
        <v>0</v>
      </c>
      <c r="O492" s="9"/>
      <c r="P492" s="9"/>
      <c r="Q492" s="4"/>
    </row>
    <row r="493" spans="1:17">
      <c r="A493" s="4"/>
      <c r="B493" s="4" t="s">
        <v>292</v>
      </c>
      <c r="C493" s="4"/>
      <c r="D493" s="4"/>
      <c r="E493" s="4"/>
      <c r="F493" s="233" t="s">
        <v>480</v>
      </c>
      <c r="G493" s="233" t="s">
        <v>479</v>
      </c>
      <c r="H493" s="233" t="s">
        <v>479</v>
      </c>
      <c r="I493" s="9">
        <f t="shared" si="441"/>
        <v>0</v>
      </c>
      <c r="J493" s="9"/>
      <c r="K493" s="4"/>
      <c r="L493" s="9">
        <f t="shared" si="445"/>
        <v>0</v>
      </c>
      <c r="M493" s="9">
        <f t="shared" si="444"/>
        <v>0</v>
      </c>
      <c r="N493" s="9">
        <f t="shared" si="443"/>
        <v>0</v>
      </c>
      <c r="O493" s="9"/>
      <c r="P493" s="9"/>
      <c r="Q493" s="4"/>
    </row>
    <row r="494" spans="1:17">
      <c r="A494" s="4"/>
      <c r="B494" s="4" t="s">
        <v>293</v>
      </c>
      <c r="C494" s="4"/>
      <c r="D494" s="4"/>
      <c r="E494" s="4"/>
      <c r="F494" s="233" t="s">
        <v>480</v>
      </c>
      <c r="G494" s="233" t="s">
        <v>487</v>
      </c>
      <c r="H494" s="234">
        <v>0.107</v>
      </c>
      <c r="I494" s="9">
        <f t="shared" si="441"/>
        <v>0</v>
      </c>
      <c r="J494" s="9"/>
      <c r="K494" s="4"/>
      <c r="L494" s="9">
        <f t="shared" si="445"/>
        <v>0</v>
      </c>
      <c r="M494" s="9">
        <f t="shared" si="444"/>
        <v>0</v>
      </c>
      <c r="N494" s="9">
        <f t="shared" si="443"/>
        <v>0</v>
      </c>
      <c r="O494" s="9"/>
      <c r="P494" s="9"/>
      <c r="Q494" s="4"/>
    </row>
    <row r="495" spans="1:17">
      <c r="A495" s="4"/>
      <c r="B495" s="4" t="s">
        <v>294</v>
      </c>
      <c r="C495" s="4"/>
      <c r="D495" s="4"/>
      <c r="E495" s="4"/>
      <c r="F495" s="233" t="s">
        <v>480</v>
      </c>
      <c r="G495" s="233" t="s">
        <v>486</v>
      </c>
      <c r="H495" s="234">
        <v>0.1115</v>
      </c>
      <c r="I495" s="9">
        <f t="shared" si="441"/>
        <v>0</v>
      </c>
      <c r="J495" s="9"/>
      <c r="K495" s="4"/>
      <c r="L495" s="9">
        <f t="shared" si="445"/>
        <v>0</v>
      </c>
      <c r="M495" s="9">
        <f t="shared" si="444"/>
        <v>0</v>
      </c>
      <c r="N495" s="9">
        <f t="shared" si="443"/>
        <v>0</v>
      </c>
      <c r="O495" s="9"/>
      <c r="P495" s="9"/>
      <c r="Q495" s="4"/>
    </row>
    <row r="496" spans="1:17">
      <c r="A496" s="4"/>
      <c r="B496" s="4" t="s">
        <v>295</v>
      </c>
      <c r="C496" s="4"/>
      <c r="D496" s="4"/>
      <c r="E496" s="4"/>
      <c r="F496" s="233" t="s">
        <v>480</v>
      </c>
      <c r="G496" s="233" t="s">
        <v>487</v>
      </c>
      <c r="H496" s="234">
        <v>0.1115</v>
      </c>
      <c r="I496" s="9">
        <f t="shared" si="441"/>
        <v>0</v>
      </c>
      <c r="J496" s="9"/>
      <c r="K496" s="4"/>
      <c r="L496" s="9">
        <f t="shared" si="445"/>
        <v>0</v>
      </c>
      <c r="M496" s="9">
        <f t="shared" si="444"/>
        <v>0</v>
      </c>
      <c r="N496" s="9">
        <f t="shared" si="443"/>
        <v>0</v>
      </c>
      <c r="O496" s="9"/>
      <c r="P496" s="9"/>
      <c r="Q496" s="4"/>
    </row>
    <row r="497" spans="1:17">
      <c r="A497" s="4"/>
      <c r="B497" s="4" t="s">
        <v>296</v>
      </c>
      <c r="C497" s="4"/>
      <c r="D497" s="4"/>
      <c r="E497" s="4"/>
      <c r="F497" s="233" t="s">
        <v>480</v>
      </c>
      <c r="G497" s="233" t="s">
        <v>487</v>
      </c>
      <c r="H497" s="234">
        <v>0.1125</v>
      </c>
      <c r="I497" s="9">
        <f t="shared" si="441"/>
        <v>0</v>
      </c>
      <c r="J497" s="9"/>
      <c r="K497" s="4"/>
      <c r="L497" s="9">
        <f t="shared" si="445"/>
        <v>0</v>
      </c>
      <c r="M497" s="9">
        <f t="shared" si="444"/>
        <v>0</v>
      </c>
      <c r="N497" s="9">
        <f t="shared" si="443"/>
        <v>0</v>
      </c>
      <c r="O497" s="9"/>
      <c r="P497" s="9"/>
      <c r="Q497" s="4"/>
    </row>
    <row r="498" spans="1:17">
      <c r="A498" s="4"/>
      <c r="B498" s="4" t="s">
        <v>297</v>
      </c>
      <c r="C498" s="4"/>
      <c r="D498" s="4"/>
      <c r="E498" s="4"/>
      <c r="F498" s="233" t="s">
        <v>480</v>
      </c>
      <c r="G498" s="233" t="s">
        <v>486</v>
      </c>
      <c r="H498" s="234">
        <v>0.1115</v>
      </c>
      <c r="I498" s="9">
        <f t="shared" si="441"/>
        <v>0</v>
      </c>
      <c r="J498" s="9"/>
      <c r="K498" s="4"/>
      <c r="L498" s="9">
        <f t="shared" si="445"/>
        <v>0</v>
      </c>
      <c r="M498" s="9">
        <f t="shared" si="444"/>
        <v>0</v>
      </c>
      <c r="N498" s="9">
        <f t="shared" si="443"/>
        <v>0</v>
      </c>
      <c r="O498" s="9"/>
      <c r="P498" s="9"/>
      <c r="Q498" s="4"/>
    </row>
    <row r="499" spans="1:17">
      <c r="A499" s="4"/>
      <c r="B499" s="200" t="s">
        <v>469</v>
      </c>
      <c r="C499" s="4"/>
      <c r="D499" s="4"/>
      <c r="E499" s="4"/>
      <c r="F499" s="233" t="s">
        <v>479</v>
      </c>
      <c r="G499" s="233" t="s">
        <v>479</v>
      </c>
      <c r="H499" s="233" t="s">
        <v>479</v>
      </c>
      <c r="I499" s="9">
        <f t="shared" ref="I499" si="446">+L447</f>
        <v>0</v>
      </c>
      <c r="J499" s="9"/>
      <c r="K499" s="4"/>
      <c r="L499" s="9">
        <f t="shared" si="445"/>
        <v>0</v>
      </c>
      <c r="M499" s="9">
        <f t="shared" si="444"/>
        <v>0</v>
      </c>
      <c r="N499" s="9">
        <f t="shared" si="443"/>
        <v>0</v>
      </c>
      <c r="O499" s="9"/>
      <c r="P499" s="9"/>
      <c r="Q499" s="4"/>
    </row>
    <row r="500" spans="1:17">
      <c r="A500" s="4"/>
      <c r="B500" s="4" t="s">
        <v>298</v>
      </c>
      <c r="C500" s="4"/>
      <c r="D500" s="4"/>
      <c r="E500" s="4"/>
      <c r="F500" s="233" t="s">
        <v>480</v>
      </c>
      <c r="G500" s="233" t="s">
        <v>486</v>
      </c>
      <c r="H500" s="234">
        <v>0.1095</v>
      </c>
      <c r="I500" s="9">
        <f t="shared" ref="I500:I504" si="447">+L448</f>
        <v>2.0800000000000018</v>
      </c>
      <c r="J500" s="9"/>
      <c r="K500" s="4">
        <v>2.08</v>
      </c>
      <c r="L500" s="9">
        <f t="shared" si="445"/>
        <v>0</v>
      </c>
      <c r="M500" s="9">
        <v>0.04</v>
      </c>
      <c r="N500" s="9">
        <f t="shared" si="443"/>
        <v>0.04</v>
      </c>
      <c r="O500" s="9"/>
      <c r="P500" s="9"/>
      <c r="Q500" s="4"/>
    </row>
    <row r="501" spans="1:17">
      <c r="A501" s="4"/>
      <c r="B501" s="4" t="s">
        <v>299</v>
      </c>
      <c r="C501" s="4"/>
      <c r="D501" s="4"/>
      <c r="E501" s="4"/>
      <c r="F501" s="233" t="s">
        <v>477</v>
      </c>
      <c r="G501" s="233" t="s">
        <v>488</v>
      </c>
      <c r="H501" s="234">
        <v>0.1075</v>
      </c>
      <c r="I501" s="9">
        <f t="shared" si="447"/>
        <v>42.569999999999979</v>
      </c>
      <c r="J501" s="9"/>
      <c r="K501" s="4">
        <v>6.34</v>
      </c>
      <c r="L501" s="9">
        <f t="shared" si="445"/>
        <v>36.229999999999976</v>
      </c>
      <c r="M501" s="9">
        <v>3.69</v>
      </c>
      <c r="N501" s="9">
        <f t="shared" si="443"/>
        <v>3.69</v>
      </c>
      <c r="O501" s="9"/>
      <c r="P501" s="9"/>
      <c r="Q501" s="4"/>
    </row>
    <row r="502" spans="1:17">
      <c r="A502" s="4"/>
      <c r="B502" s="4" t="s">
        <v>300</v>
      </c>
      <c r="C502" s="4"/>
      <c r="D502" s="4"/>
      <c r="E502" s="4"/>
      <c r="F502" s="233" t="s">
        <v>480</v>
      </c>
      <c r="G502" s="233" t="s">
        <v>486</v>
      </c>
      <c r="H502" s="234">
        <v>0.115</v>
      </c>
      <c r="I502" s="9">
        <f t="shared" si="447"/>
        <v>0</v>
      </c>
      <c r="J502" s="9"/>
      <c r="K502" s="4"/>
      <c r="L502" s="9">
        <f t="shared" si="445"/>
        <v>0</v>
      </c>
      <c r="M502" s="9">
        <f t="shared" si="444"/>
        <v>0</v>
      </c>
      <c r="N502" s="9">
        <f t="shared" si="443"/>
        <v>0</v>
      </c>
      <c r="O502" s="9"/>
      <c r="P502" s="9"/>
      <c r="Q502" s="4"/>
    </row>
    <row r="503" spans="1:17">
      <c r="A503" s="4"/>
      <c r="B503" s="4" t="s">
        <v>372</v>
      </c>
      <c r="C503" s="4"/>
      <c r="D503" s="4"/>
      <c r="E503" s="4"/>
      <c r="F503" s="233" t="s">
        <v>480</v>
      </c>
      <c r="G503" s="233" t="s">
        <v>487</v>
      </c>
      <c r="H503" s="234">
        <v>9.7500000000000003E-2</v>
      </c>
      <c r="I503" s="9">
        <f t="shared" si="447"/>
        <v>6.68</v>
      </c>
      <c r="J503" s="9"/>
      <c r="K503" s="4">
        <v>2.5099999999999998</v>
      </c>
      <c r="L503" s="9">
        <f>+I503+J503-K503</f>
        <v>4.17</v>
      </c>
      <c r="M503" s="9">
        <f t="shared" si="444"/>
        <v>0.54249999999999998</v>
      </c>
      <c r="N503" s="9">
        <f t="shared" si="443"/>
        <v>0.54249999999999998</v>
      </c>
      <c r="O503" s="9"/>
      <c r="P503" s="9"/>
      <c r="Q503" s="4"/>
    </row>
    <row r="504" spans="1:17">
      <c r="A504" s="4"/>
      <c r="B504" s="4" t="s">
        <v>410</v>
      </c>
      <c r="C504" s="4"/>
      <c r="D504" s="4"/>
      <c r="E504" s="4"/>
      <c r="F504" s="233" t="s">
        <v>480</v>
      </c>
      <c r="G504" s="233" t="s">
        <v>486</v>
      </c>
      <c r="H504" s="234">
        <v>0.11</v>
      </c>
      <c r="I504" s="9">
        <f t="shared" si="447"/>
        <v>0</v>
      </c>
      <c r="J504" s="9"/>
      <c r="K504" s="4"/>
      <c r="L504" s="9">
        <f>+I504+J504-K504</f>
        <v>0</v>
      </c>
      <c r="M504" s="9">
        <f t="shared" si="444"/>
        <v>0</v>
      </c>
      <c r="N504" s="9">
        <f t="shared" si="443"/>
        <v>0</v>
      </c>
      <c r="O504" s="9"/>
      <c r="P504" s="9"/>
      <c r="Q504" s="4"/>
    </row>
    <row r="505" spans="1:17">
      <c r="A505" s="89"/>
      <c r="B505" s="89"/>
      <c r="C505" s="89"/>
      <c r="D505" s="89"/>
      <c r="E505" s="89"/>
      <c r="F505" s="89"/>
      <c r="G505" s="89"/>
      <c r="H505" s="90"/>
      <c r="I505" s="29">
        <f>SUM(I483:I504)</f>
        <v>11073.08</v>
      </c>
      <c r="J505" s="29">
        <f t="shared" ref="J505:P505" si="448">SUM(J483:J504)</f>
        <v>1087.82</v>
      </c>
      <c r="K505" s="29">
        <f t="shared" si="448"/>
        <v>806.19</v>
      </c>
      <c r="L505" s="29">
        <f t="shared" si="448"/>
        <v>11354.709999999997</v>
      </c>
      <c r="M505" s="29">
        <f t="shared" si="448"/>
        <v>1220.5625</v>
      </c>
      <c r="N505" s="29">
        <f t="shared" si="448"/>
        <v>1220.5625</v>
      </c>
      <c r="O505" s="29">
        <f t="shared" si="448"/>
        <v>0</v>
      </c>
      <c r="P505" s="29">
        <f t="shared" si="448"/>
        <v>0</v>
      </c>
      <c r="Q505" s="89"/>
    </row>
    <row r="506" spans="1:17">
      <c r="A506" s="28"/>
      <c r="B506" s="28"/>
      <c r="C506" s="28"/>
      <c r="D506" s="28"/>
      <c r="E506" s="28"/>
      <c r="F506" s="28"/>
      <c r="G506" s="28"/>
      <c r="H506" s="91"/>
      <c r="I506" s="29">
        <f t="shared" ref="I506" si="449">+I475+I478+I481+I505</f>
        <v>11073.08</v>
      </c>
      <c r="J506" s="29">
        <f t="shared" ref="J506" si="450">+J475+J478+J481+J505</f>
        <v>1087.82</v>
      </c>
      <c r="K506" s="29">
        <f t="shared" ref="K506" si="451">+K475+K478+K481+K505</f>
        <v>806.19</v>
      </c>
      <c r="L506" s="29">
        <f t="shared" ref="L506" si="452">+L475+L478+L481+L505</f>
        <v>11354.709999999997</v>
      </c>
      <c r="M506" s="29">
        <f t="shared" ref="M506" si="453">+M475+M478+M481+M505</f>
        <v>1220.5625</v>
      </c>
      <c r="N506" s="29">
        <f t="shared" ref="N506" si="454">+N475+N478+N481+N505</f>
        <v>1220.5625</v>
      </c>
      <c r="O506" s="29">
        <f t="shared" ref="O506" si="455">+O475+O478+O481+O505</f>
        <v>0</v>
      </c>
      <c r="P506" s="29">
        <f t="shared" ref="P506" si="456">+P475+P478+P481+P505</f>
        <v>0</v>
      </c>
      <c r="Q506" s="28"/>
    </row>
    <row r="507" spans="1:17" ht="15.75">
      <c r="A507" s="92" t="s">
        <v>282</v>
      </c>
      <c r="B507" s="4"/>
      <c r="C507" s="4"/>
      <c r="D507" s="4"/>
      <c r="E507" s="4"/>
      <c r="F507" s="4"/>
      <c r="G507" s="4"/>
      <c r="H507" s="58"/>
      <c r="I507" s="4"/>
      <c r="J507" s="4"/>
      <c r="K507" s="4"/>
      <c r="L507" s="4"/>
      <c r="M507" s="4"/>
      <c r="N507" s="4"/>
      <c r="O507" s="4"/>
      <c r="P507" s="4"/>
      <c r="Q507" s="4"/>
    </row>
    <row r="508" spans="1:17">
      <c r="A508" s="18" t="s">
        <v>276</v>
      </c>
      <c r="B508" s="4"/>
      <c r="C508" s="4"/>
      <c r="D508" s="4"/>
      <c r="E508" s="4"/>
      <c r="F508" s="4"/>
      <c r="G508" s="4"/>
      <c r="H508" s="58"/>
      <c r="I508" s="5"/>
      <c r="J508" s="5"/>
      <c r="K508" s="5"/>
      <c r="L508" s="5"/>
      <c r="M508" s="5"/>
      <c r="N508" s="5"/>
      <c r="O508" s="5"/>
      <c r="P508" s="5"/>
      <c r="Q508" s="4"/>
    </row>
    <row r="509" spans="1:17">
      <c r="A509" s="18"/>
      <c r="B509" s="4"/>
      <c r="C509" s="4"/>
      <c r="D509" s="4"/>
      <c r="E509" s="4"/>
      <c r="F509" s="4"/>
      <c r="G509" s="4"/>
      <c r="H509" s="58"/>
      <c r="I509" s="9">
        <f t="shared" ref="I509" si="457">+L457</f>
        <v>0</v>
      </c>
      <c r="J509" s="5"/>
      <c r="K509" s="36"/>
      <c r="L509" s="9">
        <f>+I509+J509-K509</f>
        <v>0</v>
      </c>
      <c r="M509" s="4"/>
      <c r="N509" s="9">
        <f>+M509</f>
        <v>0</v>
      </c>
      <c r="O509" s="9"/>
      <c r="P509" s="9"/>
      <c r="Q509" s="4"/>
    </row>
    <row r="510" spans="1:17">
      <c r="A510" s="89"/>
      <c r="B510" s="89"/>
      <c r="C510" s="89"/>
      <c r="D510" s="89"/>
      <c r="E510" s="89"/>
      <c r="F510" s="89"/>
      <c r="G510" s="89"/>
      <c r="H510" s="90"/>
      <c r="I510" s="29">
        <f t="shared" ref="I510" si="458">SUM(I509:I509)</f>
        <v>0</v>
      </c>
      <c r="J510" s="29">
        <f t="shared" ref="J510" si="459">SUM(J509:J509)</f>
        <v>0</v>
      </c>
      <c r="K510" s="29">
        <f t="shared" ref="K510" si="460">SUM(K509:K509)</f>
        <v>0</v>
      </c>
      <c r="L510" s="29">
        <f t="shared" ref="L510" si="461">SUM(L509:L509)</f>
        <v>0</v>
      </c>
      <c r="M510" s="29">
        <f t="shared" ref="M510" si="462">SUM(M509:M509)</f>
        <v>0</v>
      </c>
      <c r="N510" s="29">
        <f t="shared" ref="N510" si="463">SUM(N509:N509)</f>
        <v>0</v>
      </c>
      <c r="O510" s="29">
        <f t="shared" ref="O510" si="464">SUM(O509:O509)</f>
        <v>0</v>
      </c>
      <c r="P510" s="29">
        <f t="shared" ref="P510" si="465">SUM(P509:P509)</f>
        <v>0</v>
      </c>
      <c r="Q510" s="89"/>
    </row>
    <row r="511" spans="1:17">
      <c r="A511" s="18" t="s">
        <v>277</v>
      </c>
      <c r="B511" s="4"/>
      <c r="C511" s="4"/>
      <c r="D511" s="4"/>
      <c r="E511" s="4"/>
      <c r="F511" s="4"/>
      <c r="G511" s="4"/>
      <c r="H511" s="58"/>
      <c r="I511" s="5"/>
      <c r="J511" s="5"/>
      <c r="K511" s="5"/>
      <c r="L511" s="5"/>
      <c r="M511" s="5"/>
      <c r="N511" s="5"/>
      <c r="O511" s="5"/>
      <c r="P511" s="5"/>
      <c r="Q511" s="4"/>
    </row>
    <row r="512" spans="1:17">
      <c r="A512" s="4"/>
      <c r="B512" s="4"/>
      <c r="C512" s="4"/>
      <c r="D512" s="4"/>
      <c r="E512" s="4"/>
      <c r="F512" s="4"/>
      <c r="G512" s="4"/>
      <c r="H512" s="58"/>
      <c r="I512" s="9">
        <f t="shared" ref="I512" si="466">+L460</f>
        <v>0</v>
      </c>
      <c r="J512" s="4"/>
      <c r="K512" s="4"/>
      <c r="L512" s="9">
        <f>+I512+J512-K512</f>
        <v>0</v>
      </c>
      <c r="M512" s="4"/>
      <c r="N512" s="9">
        <f>+M512</f>
        <v>0</v>
      </c>
      <c r="O512" s="9"/>
      <c r="P512" s="9"/>
      <c r="Q512" s="4"/>
    </row>
    <row r="513" spans="1:17">
      <c r="A513" s="89"/>
      <c r="B513" s="89"/>
      <c r="C513" s="89"/>
      <c r="D513" s="89"/>
      <c r="E513" s="89"/>
      <c r="F513" s="89"/>
      <c r="G513" s="89"/>
      <c r="H513" s="90"/>
      <c r="I513" s="29">
        <f>+I512</f>
        <v>0</v>
      </c>
      <c r="J513" s="29">
        <f t="shared" ref="J513:P513" si="467">+J512</f>
        <v>0</v>
      </c>
      <c r="K513" s="29">
        <f t="shared" si="467"/>
        <v>0</v>
      </c>
      <c r="L513" s="29">
        <f t="shared" si="467"/>
        <v>0</v>
      </c>
      <c r="M513" s="29">
        <f t="shared" si="467"/>
        <v>0</v>
      </c>
      <c r="N513" s="29">
        <f t="shared" si="467"/>
        <v>0</v>
      </c>
      <c r="O513" s="29">
        <f t="shared" si="467"/>
        <v>0</v>
      </c>
      <c r="P513" s="29">
        <f t="shared" si="467"/>
        <v>0</v>
      </c>
      <c r="Q513" s="89"/>
    </row>
    <row r="514" spans="1:17">
      <c r="A514" s="18" t="s">
        <v>278</v>
      </c>
      <c r="B514" s="4"/>
      <c r="C514" s="4"/>
      <c r="D514" s="4"/>
      <c r="E514" s="4"/>
      <c r="F514" s="4"/>
      <c r="G514" s="4"/>
      <c r="H514" s="58"/>
      <c r="I514" s="5"/>
      <c r="J514" s="5"/>
      <c r="K514" s="5"/>
      <c r="L514" s="5"/>
      <c r="M514" s="5"/>
      <c r="N514" s="5"/>
      <c r="O514" s="5"/>
      <c r="P514" s="5"/>
      <c r="Q514" s="4"/>
    </row>
    <row r="515" spans="1:17">
      <c r="A515" s="4"/>
      <c r="B515" s="200" t="s">
        <v>476</v>
      </c>
      <c r="C515" s="4"/>
      <c r="D515" s="4"/>
      <c r="E515" s="4"/>
      <c r="F515" s="4"/>
      <c r="G515" s="4"/>
      <c r="H515" s="58"/>
      <c r="I515" s="9">
        <f t="shared" ref="I515" si="468">+L463</f>
        <v>395.72</v>
      </c>
      <c r="J515" s="4"/>
      <c r="K515" s="9">
        <v>48.64</v>
      </c>
      <c r="L515" s="9">
        <f>+I515+J515-K515</f>
        <v>347.08000000000004</v>
      </c>
      <c r="M515" s="9">
        <v>37.590000000000003</v>
      </c>
      <c r="N515" s="9">
        <f>+M515</f>
        <v>37.590000000000003</v>
      </c>
      <c r="O515" s="9"/>
      <c r="P515" s="9"/>
      <c r="Q515" s="4"/>
    </row>
    <row r="516" spans="1:17">
      <c r="A516" s="89"/>
      <c r="B516" s="89"/>
      <c r="C516" s="89"/>
      <c r="D516" s="89"/>
      <c r="E516" s="89"/>
      <c r="F516" s="89"/>
      <c r="G516" s="89"/>
      <c r="H516" s="90"/>
      <c r="I516" s="29">
        <f>+I515</f>
        <v>395.72</v>
      </c>
      <c r="J516" s="29">
        <f t="shared" ref="J516:P516" si="469">+J515</f>
        <v>0</v>
      </c>
      <c r="K516" s="29">
        <f t="shared" si="469"/>
        <v>48.64</v>
      </c>
      <c r="L516" s="29">
        <f t="shared" si="469"/>
        <v>347.08000000000004</v>
      </c>
      <c r="M516" s="29">
        <f t="shared" si="469"/>
        <v>37.590000000000003</v>
      </c>
      <c r="N516" s="29">
        <f t="shared" si="469"/>
        <v>37.590000000000003</v>
      </c>
      <c r="O516" s="29">
        <f t="shared" si="469"/>
        <v>0</v>
      </c>
      <c r="P516" s="29">
        <f t="shared" si="469"/>
        <v>0</v>
      </c>
      <c r="Q516" s="89"/>
    </row>
    <row r="517" spans="1:17">
      <c r="A517" s="4"/>
      <c r="B517" s="4" t="s">
        <v>383</v>
      </c>
      <c r="C517" s="4"/>
      <c r="D517" s="4"/>
      <c r="E517" s="4"/>
      <c r="F517" s="4"/>
      <c r="G517" s="4"/>
      <c r="H517" s="58"/>
      <c r="I517" s="9">
        <f t="shared" ref="I517" si="470">+L465</f>
        <v>0</v>
      </c>
      <c r="J517" s="4"/>
      <c r="K517" s="4"/>
      <c r="L517" s="9">
        <f>+I517+J517-K517</f>
        <v>0</v>
      </c>
      <c r="M517" s="4"/>
      <c r="N517" s="9">
        <f>+M517</f>
        <v>0</v>
      </c>
      <c r="O517" s="9"/>
      <c r="P517" s="9"/>
      <c r="Q517" s="4"/>
    </row>
    <row r="518" spans="1:17">
      <c r="A518" s="89"/>
      <c r="B518" s="89"/>
      <c r="C518" s="89"/>
      <c r="D518" s="89"/>
      <c r="E518" s="89"/>
      <c r="F518" s="89"/>
      <c r="G518" s="89"/>
      <c r="H518" s="90"/>
      <c r="I518" s="29">
        <f>+I517</f>
        <v>0</v>
      </c>
      <c r="J518" s="29">
        <f t="shared" ref="J518" si="471">+J517</f>
        <v>0</v>
      </c>
      <c r="K518" s="29">
        <f t="shared" ref="K518" si="472">+K517</f>
        <v>0</v>
      </c>
      <c r="L518" s="29">
        <f t="shared" ref="L518" si="473">+L517</f>
        <v>0</v>
      </c>
      <c r="M518" s="29">
        <f t="shared" ref="M518" si="474">+M517</f>
        <v>0</v>
      </c>
      <c r="N518" s="29">
        <f t="shared" ref="N518" si="475">+N517</f>
        <v>0</v>
      </c>
      <c r="O518" s="29">
        <f t="shared" ref="O518" si="476">+O517</f>
        <v>0</v>
      </c>
      <c r="P518" s="29">
        <f t="shared" ref="P518" si="477">+P517</f>
        <v>0</v>
      </c>
      <c r="Q518" s="89"/>
    </row>
    <row r="519" spans="1:17">
      <c r="A519" s="89"/>
      <c r="B519" s="89"/>
      <c r="C519" s="89"/>
      <c r="D519" s="89"/>
      <c r="E519" s="89"/>
      <c r="F519" s="89"/>
      <c r="G519" s="89"/>
      <c r="H519" s="90"/>
      <c r="I519" s="29">
        <f>+I518+I516+I513+I510</f>
        <v>395.72</v>
      </c>
      <c r="J519" s="29">
        <f t="shared" ref="J519" si="478">+J518+J516+J513+J510</f>
        <v>0</v>
      </c>
      <c r="K519" s="29">
        <f t="shared" ref="K519" si="479">+K518+K516+K513+K510</f>
        <v>48.64</v>
      </c>
      <c r="L519" s="29">
        <f t="shared" ref="L519" si="480">+L518+L516+L513+L510</f>
        <v>347.08000000000004</v>
      </c>
      <c r="M519" s="29">
        <f t="shared" ref="M519" si="481">+M518+M516+M513+M510</f>
        <v>37.590000000000003</v>
      </c>
      <c r="N519" s="29">
        <f t="shared" ref="N519" si="482">+N518+N516+N513+N510</f>
        <v>37.590000000000003</v>
      </c>
      <c r="O519" s="29">
        <f t="shared" ref="O519" si="483">+O518+O516+O513+O510</f>
        <v>0</v>
      </c>
      <c r="P519" s="29">
        <f t="shared" ref="P519" si="484">+P518+P516+P513+P510</f>
        <v>0</v>
      </c>
      <c r="Q519" s="89"/>
    </row>
    <row r="520" spans="1:17">
      <c r="A520" s="28"/>
      <c r="B520" s="28"/>
      <c r="C520" s="28"/>
      <c r="D520" s="28"/>
      <c r="E520" s="28"/>
      <c r="F520" s="28"/>
      <c r="G520" s="28"/>
      <c r="H520" s="91"/>
      <c r="I520" s="29">
        <f>+I519+I506</f>
        <v>11468.8</v>
      </c>
      <c r="J520" s="29">
        <f t="shared" ref="J520" si="485">+J519+J506</f>
        <v>1087.82</v>
      </c>
      <c r="K520" s="29">
        <f t="shared" ref="K520" si="486">+K519+K506</f>
        <v>854.83</v>
      </c>
      <c r="L520" s="29">
        <f t="shared" ref="L520" si="487">+L519+L506</f>
        <v>11701.789999999997</v>
      </c>
      <c r="M520" s="29">
        <f t="shared" ref="M520" si="488">+M519+M506</f>
        <v>1258.1524999999999</v>
      </c>
      <c r="N520" s="29">
        <f t="shared" ref="N520" si="489">+N519+N506</f>
        <v>1258.1524999999999</v>
      </c>
      <c r="O520" s="29">
        <f t="shared" ref="O520" si="490">+O519+O506</f>
        <v>0</v>
      </c>
      <c r="P520" s="29">
        <f t="shared" ref="P520" si="491">+P519+P506</f>
        <v>0</v>
      </c>
      <c r="Q520" s="28"/>
    </row>
    <row r="521" spans="1:17">
      <c r="A521" s="287" t="s">
        <v>272</v>
      </c>
      <c r="B521" s="287"/>
      <c r="C521" s="306" t="s">
        <v>273</v>
      </c>
      <c r="D521" s="306"/>
      <c r="E521" s="306"/>
      <c r="F521" s="306"/>
      <c r="G521" s="306"/>
      <c r="H521" s="306"/>
      <c r="I521" s="306"/>
      <c r="J521" s="306"/>
      <c r="K521" s="306"/>
      <c r="L521" s="306"/>
      <c r="M521" s="306"/>
      <c r="N521" s="306"/>
      <c r="O521" s="306"/>
      <c r="P521" s="306"/>
      <c r="Q521" s="306"/>
    </row>
    <row r="522" spans="1:17" ht="18" customHeight="1">
      <c r="A522" s="304" t="s">
        <v>431</v>
      </c>
      <c r="B522" s="304"/>
      <c r="C522" s="138"/>
      <c r="D522" s="198"/>
      <c r="E522" s="198"/>
      <c r="F522" s="198"/>
      <c r="G522" s="198"/>
      <c r="H522" s="199"/>
      <c r="I522" s="198"/>
      <c r="J522" s="198"/>
      <c r="K522" s="198"/>
      <c r="L522" s="198"/>
      <c r="M522" s="198"/>
      <c r="N522" s="305" t="s">
        <v>467</v>
      </c>
      <c r="O522" s="305"/>
      <c r="P522" s="305"/>
      <c r="Q522" s="198"/>
    </row>
    <row r="523" spans="1:17" ht="56.25">
      <c r="A523" s="111" t="s">
        <v>248</v>
      </c>
      <c r="B523" s="111" t="s">
        <v>302</v>
      </c>
      <c r="C523" s="111" t="s">
        <v>274</v>
      </c>
      <c r="D523" s="111" t="s">
        <v>251</v>
      </c>
      <c r="E523" s="111" t="s">
        <v>275</v>
      </c>
      <c r="F523" s="111" t="s">
        <v>257</v>
      </c>
      <c r="G523" s="111" t="s">
        <v>301</v>
      </c>
      <c r="H523" s="112" t="s">
        <v>258</v>
      </c>
      <c r="I523" s="111" t="s">
        <v>259</v>
      </c>
      <c r="J523" s="111" t="s">
        <v>260</v>
      </c>
      <c r="K523" s="111" t="s">
        <v>261</v>
      </c>
      <c r="L523" s="111" t="s">
        <v>262</v>
      </c>
      <c r="M523" s="111" t="s">
        <v>263</v>
      </c>
      <c r="N523" s="111" t="s">
        <v>264</v>
      </c>
      <c r="O523" s="111" t="s">
        <v>265</v>
      </c>
      <c r="P523" s="111" t="s">
        <v>266</v>
      </c>
      <c r="Q523" s="111" t="s">
        <v>101</v>
      </c>
    </row>
    <row r="524" spans="1:17" ht="15.75">
      <c r="A524" s="92" t="s">
        <v>283</v>
      </c>
      <c r="B524" s="4"/>
      <c r="C524" s="4"/>
      <c r="D524" s="4"/>
      <c r="E524" s="4"/>
      <c r="F524" s="4"/>
      <c r="G524" s="4"/>
      <c r="H524" s="58"/>
      <c r="I524" s="5"/>
      <c r="J524" s="5"/>
      <c r="K524" s="5"/>
      <c r="L524" s="5"/>
      <c r="M524" s="5"/>
      <c r="N524" s="5"/>
      <c r="O524" s="5"/>
      <c r="P524" s="5"/>
      <c r="Q524" s="4"/>
    </row>
    <row r="525" spans="1:17">
      <c r="A525" s="18" t="s">
        <v>276</v>
      </c>
      <c r="B525" s="4"/>
      <c r="C525" s="4"/>
      <c r="D525" s="4"/>
      <c r="E525" s="4"/>
      <c r="F525" s="4"/>
      <c r="G525" s="4"/>
      <c r="H525" s="58"/>
      <c r="I525" s="5"/>
      <c r="J525" s="5"/>
      <c r="K525" s="5"/>
      <c r="L525" s="5"/>
      <c r="M525" s="5"/>
      <c r="N525" s="5"/>
      <c r="O525" s="5"/>
      <c r="P525" s="5"/>
      <c r="Q525" s="4"/>
    </row>
    <row r="526" spans="1:17">
      <c r="A526" s="4"/>
      <c r="B526" s="4"/>
      <c r="C526" s="4"/>
      <c r="D526" s="4"/>
      <c r="E526" s="4"/>
      <c r="F526" s="4"/>
      <c r="G526" s="4"/>
      <c r="H526" s="58"/>
      <c r="I526" s="9">
        <f>+L474</f>
        <v>0</v>
      </c>
      <c r="J526" s="4"/>
      <c r="K526" s="4"/>
      <c r="L526" s="9">
        <f>+I526+J526-K526</f>
        <v>0</v>
      </c>
      <c r="M526" s="4"/>
      <c r="N526" s="9">
        <f>+M526</f>
        <v>0</v>
      </c>
      <c r="O526" s="9"/>
      <c r="P526" s="9"/>
      <c r="Q526" s="4"/>
    </row>
    <row r="527" spans="1:17">
      <c r="A527" s="89"/>
      <c r="B527" s="89"/>
      <c r="C527" s="89"/>
      <c r="D527" s="89"/>
      <c r="E527" s="89"/>
      <c r="F527" s="89"/>
      <c r="G527" s="89"/>
      <c r="H527" s="90"/>
      <c r="I527" s="29">
        <f>+I526</f>
        <v>0</v>
      </c>
      <c r="J527" s="29">
        <f t="shared" ref="J527:P527" si="492">+J526</f>
        <v>0</v>
      </c>
      <c r="K527" s="29">
        <f t="shared" si="492"/>
        <v>0</v>
      </c>
      <c r="L527" s="29">
        <f t="shared" si="492"/>
        <v>0</v>
      </c>
      <c r="M527" s="29">
        <f t="shared" si="492"/>
        <v>0</v>
      </c>
      <c r="N527" s="29">
        <f t="shared" si="492"/>
        <v>0</v>
      </c>
      <c r="O527" s="29">
        <f t="shared" si="492"/>
        <v>0</v>
      </c>
      <c r="P527" s="29">
        <f t="shared" si="492"/>
        <v>0</v>
      </c>
      <c r="Q527" s="89"/>
    </row>
    <row r="528" spans="1:17">
      <c r="A528" s="18" t="s">
        <v>277</v>
      </c>
      <c r="B528" s="4"/>
      <c r="C528" s="4"/>
      <c r="D528" s="4"/>
      <c r="E528" s="4"/>
      <c r="F528" s="4"/>
      <c r="G528" s="4"/>
      <c r="H528" s="58"/>
      <c r="I528" s="5"/>
      <c r="J528" s="5"/>
      <c r="K528" s="5"/>
      <c r="L528" s="5"/>
      <c r="M528" s="5"/>
      <c r="N528" s="5"/>
      <c r="O528" s="5"/>
      <c r="P528" s="5"/>
      <c r="Q528" s="4"/>
    </row>
    <row r="529" spans="1:17">
      <c r="A529" s="4"/>
      <c r="B529" s="4"/>
      <c r="C529" s="4"/>
      <c r="D529" s="4"/>
      <c r="E529" s="4"/>
      <c r="F529" s="4"/>
      <c r="G529" s="4"/>
      <c r="H529" s="58"/>
      <c r="I529" s="9">
        <f>+L477</f>
        <v>0</v>
      </c>
      <c r="J529" s="4"/>
      <c r="K529" s="4"/>
      <c r="L529" s="9">
        <f>+I529+J529-K529</f>
        <v>0</v>
      </c>
      <c r="M529" s="4"/>
      <c r="N529" s="9">
        <f>+M529</f>
        <v>0</v>
      </c>
      <c r="O529" s="9"/>
      <c r="P529" s="9"/>
      <c r="Q529" s="4"/>
    </row>
    <row r="530" spans="1:17">
      <c r="A530" s="89"/>
      <c r="B530" s="89"/>
      <c r="C530" s="89"/>
      <c r="D530" s="89"/>
      <c r="E530" s="89"/>
      <c r="F530" s="89"/>
      <c r="G530" s="89"/>
      <c r="H530" s="90"/>
      <c r="I530" s="29">
        <f>+I529</f>
        <v>0</v>
      </c>
      <c r="J530" s="29">
        <f t="shared" ref="J530:P530" si="493">+J529</f>
        <v>0</v>
      </c>
      <c r="K530" s="29">
        <f t="shared" si="493"/>
        <v>0</v>
      </c>
      <c r="L530" s="29">
        <f t="shared" si="493"/>
        <v>0</v>
      </c>
      <c r="M530" s="29">
        <f t="shared" si="493"/>
        <v>0</v>
      </c>
      <c r="N530" s="29">
        <f t="shared" si="493"/>
        <v>0</v>
      </c>
      <c r="O530" s="29">
        <f t="shared" si="493"/>
        <v>0</v>
      </c>
      <c r="P530" s="29">
        <f t="shared" si="493"/>
        <v>0</v>
      </c>
      <c r="Q530" s="89"/>
    </row>
    <row r="531" spans="1:17">
      <c r="A531" s="18" t="s">
        <v>278</v>
      </c>
      <c r="B531" s="4"/>
      <c r="C531" s="4"/>
      <c r="D531" s="4"/>
      <c r="E531" s="4"/>
      <c r="F531" s="4"/>
      <c r="G531" s="4"/>
      <c r="H531" s="58"/>
      <c r="I531" s="5"/>
      <c r="J531" s="5"/>
      <c r="K531" s="5"/>
      <c r="L531" s="5"/>
      <c r="M531" s="5"/>
      <c r="N531" s="5"/>
      <c r="O531" s="5"/>
      <c r="P531" s="5"/>
      <c r="Q531" s="4"/>
    </row>
    <row r="532" spans="1:17">
      <c r="A532" s="4"/>
      <c r="B532" s="4"/>
      <c r="C532" s="4"/>
      <c r="D532" s="4"/>
      <c r="E532" s="4"/>
      <c r="F532" s="4"/>
      <c r="G532" s="4"/>
      <c r="H532" s="58"/>
      <c r="I532" s="9">
        <f>+L480</f>
        <v>0</v>
      </c>
      <c r="J532" s="4"/>
      <c r="K532" s="4"/>
      <c r="L532" s="9">
        <f>+I532+J532-K532</f>
        <v>0</v>
      </c>
      <c r="M532" s="4"/>
      <c r="N532" s="9">
        <f>+M532</f>
        <v>0</v>
      </c>
      <c r="O532" s="9"/>
      <c r="P532" s="9"/>
      <c r="Q532" s="4"/>
    </row>
    <row r="533" spans="1:17">
      <c r="A533" s="89"/>
      <c r="B533" s="89"/>
      <c r="C533" s="89"/>
      <c r="D533" s="89"/>
      <c r="E533" s="89"/>
      <c r="F533" s="89"/>
      <c r="G533" s="89"/>
      <c r="H533" s="90"/>
      <c r="I533" s="29">
        <f>+I532</f>
        <v>0</v>
      </c>
      <c r="J533" s="29">
        <f t="shared" ref="J533:P533" si="494">+J532</f>
        <v>0</v>
      </c>
      <c r="K533" s="29">
        <f t="shared" si="494"/>
        <v>0</v>
      </c>
      <c r="L533" s="29">
        <f t="shared" si="494"/>
        <v>0</v>
      </c>
      <c r="M533" s="29">
        <f t="shared" si="494"/>
        <v>0</v>
      </c>
      <c r="N533" s="29">
        <f t="shared" si="494"/>
        <v>0</v>
      </c>
      <c r="O533" s="29">
        <f t="shared" si="494"/>
        <v>0</v>
      </c>
      <c r="P533" s="29">
        <f t="shared" si="494"/>
        <v>0</v>
      </c>
      <c r="Q533" s="89"/>
    </row>
    <row r="534" spans="1:17">
      <c r="A534" s="18" t="s">
        <v>279</v>
      </c>
      <c r="B534" s="4"/>
      <c r="C534" s="4"/>
      <c r="D534" s="4"/>
      <c r="E534" s="4"/>
      <c r="F534" s="4"/>
      <c r="G534" s="4"/>
      <c r="H534" s="58"/>
      <c r="I534" s="4"/>
      <c r="J534" s="4"/>
      <c r="K534" s="4"/>
      <c r="L534" s="4"/>
      <c r="M534" s="4"/>
      <c r="N534" s="4"/>
      <c r="O534" s="4"/>
      <c r="P534" s="4"/>
      <c r="Q534" s="4"/>
    </row>
    <row r="535" spans="1:17">
      <c r="A535" s="4"/>
      <c r="B535" s="4" t="s">
        <v>280</v>
      </c>
      <c r="C535" s="4"/>
      <c r="D535" s="4"/>
      <c r="E535" s="4"/>
      <c r="F535" s="233" t="s">
        <v>477</v>
      </c>
      <c r="G535" s="233" t="s">
        <v>483</v>
      </c>
      <c r="H535" s="233" t="s">
        <v>489</v>
      </c>
      <c r="I535" s="9">
        <f t="shared" ref="I535:I550" si="495">+L483</f>
        <v>5702.1799999999985</v>
      </c>
      <c r="J535" s="9">
        <v>602.16999999999996</v>
      </c>
      <c r="K535" s="9">
        <v>541.6</v>
      </c>
      <c r="L535" s="9">
        <f t="shared" ref="L535:L539" si="496">+I535+J535-K535</f>
        <v>5762.7499999999982</v>
      </c>
      <c r="M535" s="9">
        <v>611.63</v>
      </c>
      <c r="N535" s="9">
        <f t="shared" ref="N535:N556" si="497">+M535</f>
        <v>611.63</v>
      </c>
      <c r="O535" s="9"/>
      <c r="P535" s="9"/>
      <c r="Q535" s="4"/>
    </row>
    <row r="536" spans="1:17">
      <c r="A536" s="4"/>
      <c r="B536" s="4" t="s">
        <v>281</v>
      </c>
      <c r="C536" s="4"/>
      <c r="D536" s="4"/>
      <c r="E536" s="4"/>
      <c r="F536" s="233" t="s">
        <v>477</v>
      </c>
      <c r="G536" s="233" t="s">
        <v>484</v>
      </c>
      <c r="H536" s="233" t="s">
        <v>490</v>
      </c>
      <c r="I536" s="9">
        <f t="shared" si="495"/>
        <v>5606.83</v>
      </c>
      <c r="J536" s="9">
        <v>315.91000000000003</v>
      </c>
      <c r="K536" s="4">
        <v>373.43</v>
      </c>
      <c r="L536" s="9">
        <f t="shared" si="496"/>
        <v>5549.3099999999995</v>
      </c>
      <c r="M536" s="4">
        <v>576.96</v>
      </c>
      <c r="N536" s="9">
        <f t="shared" si="497"/>
        <v>576.96</v>
      </c>
      <c r="O536" s="9"/>
      <c r="P536" s="9"/>
      <c r="Q536" s="4"/>
    </row>
    <row r="537" spans="1:17">
      <c r="A537" s="4"/>
      <c r="B537" s="4" t="s">
        <v>285</v>
      </c>
      <c r="C537" s="4"/>
      <c r="D537" s="4"/>
      <c r="E537" s="4"/>
      <c r="F537" s="233" t="s">
        <v>478</v>
      </c>
      <c r="G537" s="233" t="s">
        <v>485</v>
      </c>
      <c r="H537" s="234">
        <v>0.1075</v>
      </c>
      <c r="I537" s="9">
        <f t="shared" si="495"/>
        <v>0</v>
      </c>
      <c r="J537" s="9"/>
      <c r="K537" s="4"/>
      <c r="L537" s="9">
        <f t="shared" si="496"/>
        <v>0</v>
      </c>
      <c r="M537" s="9">
        <f>+((I537+L537)/2)*10/100</f>
        <v>0</v>
      </c>
      <c r="N537" s="9">
        <f t="shared" si="497"/>
        <v>0</v>
      </c>
      <c r="O537" s="9"/>
      <c r="P537" s="9"/>
      <c r="Q537" s="4"/>
    </row>
    <row r="538" spans="1:17">
      <c r="A538" s="4"/>
      <c r="B538" s="4" t="s">
        <v>286</v>
      </c>
      <c r="C538" s="4"/>
      <c r="D538" s="4"/>
      <c r="E538" s="4"/>
      <c r="F538" s="233" t="s">
        <v>479</v>
      </c>
      <c r="G538" s="233" t="s">
        <v>479</v>
      </c>
      <c r="H538" s="233" t="s">
        <v>479</v>
      </c>
      <c r="I538" s="9">
        <f t="shared" si="495"/>
        <v>0</v>
      </c>
      <c r="J538" s="9"/>
      <c r="K538" s="9"/>
      <c r="L538" s="9">
        <f t="shared" si="496"/>
        <v>0</v>
      </c>
      <c r="M538" s="9">
        <f t="shared" ref="M538:M556" si="498">+((I538+L538)/2)*10/100</f>
        <v>0</v>
      </c>
      <c r="N538" s="9">
        <f t="shared" si="497"/>
        <v>0</v>
      </c>
      <c r="O538" s="9"/>
      <c r="P538" s="9"/>
      <c r="Q538" s="4"/>
    </row>
    <row r="539" spans="1:17">
      <c r="A539" s="4"/>
      <c r="B539" s="4" t="s">
        <v>287</v>
      </c>
      <c r="C539" s="4"/>
      <c r="D539" s="4"/>
      <c r="E539" s="4"/>
      <c r="F539" s="233" t="s">
        <v>480</v>
      </c>
      <c r="G539" s="233" t="s">
        <v>486</v>
      </c>
      <c r="H539" s="234">
        <v>0.11</v>
      </c>
      <c r="I539" s="9">
        <f t="shared" si="495"/>
        <v>4.9000000000000048</v>
      </c>
      <c r="J539" s="9"/>
      <c r="K539" s="9">
        <v>4.9000000000000004</v>
      </c>
      <c r="L539" s="9">
        <f t="shared" si="496"/>
        <v>0</v>
      </c>
      <c r="M539" s="9">
        <v>0.19</v>
      </c>
      <c r="N539" s="9">
        <f t="shared" si="497"/>
        <v>0.19</v>
      </c>
      <c r="O539" s="9"/>
      <c r="P539" s="9"/>
      <c r="Q539" s="4"/>
    </row>
    <row r="540" spans="1:17">
      <c r="A540" s="4"/>
      <c r="B540" s="4" t="s">
        <v>371</v>
      </c>
      <c r="C540" s="4"/>
      <c r="D540" s="4"/>
      <c r="E540" s="4"/>
      <c r="F540" s="233" t="s">
        <v>480</v>
      </c>
      <c r="G540" s="233" t="s">
        <v>486</v>
      </c>
      <c r="H540" s="234">
        <v>0.1115</v>
      </c>
      <c r="I540" s="9">
        <f t="shared" si="495"/>
        <v>0</v>
      </c>
      <c r="J540" s="9"/>
      <c r="K540" s="4"/>
      <c r="L540" s="9">
        <f>+I540+J540-K540</f>
        <v>0</v>
      </c>
      <c r="M540" s="9">
        <f t="shared" si="498"/>
        <v>0</v>
      </c>
      <c r="N540" s="9">
        <f t="shared" si="497"/>
        <v>0</v>
      </c>
      <c r="O540" s="9"/>
      <c r="P540" s="9"/>
      <c r="Q540" s="4"/>
    </row>
    <row r="541" spans="1:17">
      <c r="A541" s="4"/>
      <c r="B541" s="4" t="s">
        <v>288</v>
      </c>
      <c r="C541" s="4"/>
      <c r="D541" s="4"/>
      <c r="E541" s="4"/>
      <c r="F541" s="233" t="s">
        <v>481</v>
      </c>
      <c r="G541" s="233" t="s">
        <v>479</v>
      </c>
      <c r="H541" s="233" t="s">
        <v>479</v>
      </c>
      <c r="I541" s="9">
        <f t="shared" si="495"/>
        <v>0</v>
      </c>
      <c r="J541" s="9"/>
      <c r="K541" s="4"/>
      <c r="L541" s="9">
        <f t="shared" ref="L541:L554" si="499">+I541+J541-K541</f>
        <v>0</v>
      </c>
      <c r="M541" s="9">
        <f t="shared" si="498"/>
        <v>0</v>
      </c>
      <c r="N541" s="9">
        <f t="shared" si="497"/>
        <v>0</v>
      </c>
      <c r="O541" s="9"/>
      <c r="P541" s="9"/>
      <c r="Q541" s="4"/>
    </row>
    <row r="542" spans="1:17">
      <c r="A542" s="4"/>
      <c r="B542" s="4" t="s">
        <v>289</v>
      </c>
      <c r="C542" s="4"/>
      <c r="D542" s="4"/>
      <c r="E542" s="4"/>
      <c r="F542" s="233" t="s">
        <v>480</v>
      </c>
      <c r="G542" s="233" t="s">
        <v>486</v>
      </c>
      <c r="H542" s="234">
        <v>9.5000000000000001E-2</v>
      </c>
      <c r="I542" s="9">
        <f t="shared" si="495"/>
        <v>0.40000000000000213</v>
      </c>
      <c r="J542" s="9"/>
      <c r="K542" s="9">
        <v>0.4</v>
      </c>
      <c r="L542" s="9">
        <f t="shared" si="499"/>
        <v>2.1094237467877974E-15</v>
      </c>
      <c r="M542" s="9">
        <v>0</v>
      </c>
      <c r="N542" s="9">
        <f t="shared" si="497"/>
        <v>0</v>
      </c>
      <c r="O542" s="9"/>
      <c r="P542" s="9"/>
      <c r="Q542" s="4"/>
    </row>
    <row r="543" spans="1:17">
      <c r="A543" s="4"/>
      <c r="B543" s="4" t="s">
        <v>290</v>
      </c>
      <c r="C543" s="4"/>
      <c r="D543" s="4"/>
      <c r="E543" s="4"/>
      <c r="F543" s="233" t="s">
        <v>480</v>
      </c>
      <c r="G543" s="233" t="s">
        <v>486</v>
      </c>
      <c r="H543" s="234">
        <v>0.11</v>
      </c>
      <c r="I543" s="9">
        <f t="shared" si="495"/>
        <v>0</v>
      </c>
      <c r="J543" s="9"/>
      <c r="K543" s="4"/>
      <c r="L543" s="9">
        <f t="shared" si="499"/>
        <v>0</v>
      </c>
      <c r="M543" s="9">
        <f t="shared" si="498"/>
        <v>0</v>
      </c>
      <c r="N543" s="9">
        <f t="shared" si="497"/>
        <v>0</v>
      </c>
      <c r="O543" s="9"/>
      <c r="P543" s="9"/>
      <c r="Q543" s="4"/>
    </row>
    <row r="544" spans="1:17">
      <c r="A544" s="4"/>
      <c r="B544" s="4" t="s">
        <v>291</v>
      </c>
      <c r="C544" s="4"/>
      <c r="D544" s="4"/>
      <c r="E544" s="4"/>
      <c r="F544" s="233" t="s">
        <v>482</v>
      </c>
      <c r="G544" s="233" t="s">
        <v>486</v>
      </c>
      <c r="H544" s="234">
        <v>0.11</v>
      </c>
      <c r="I544" s="9">
        <f t="shared" si="495"/>
        <v>0</v>
      </c>
      <c r="J544" s="9"/>
      <c r="K544" s="4"/>
      <c r="L544" s="9">
        <f t="shared" si="499"/>
        <v>0</v>
      </c>
      <c r="M544" s="9">
        <f t="shared" si="498"/>
        <v>0</v>
      </c>
      <c r="N544" s="9">
        <f t="shared" si="497"/>
        <v>0</v>
      </c>
      <c r="O544" s="9"/>
      <c r="P544" s="9"/>
      <c r="Q544" s="4"/>
    </row>
    <row r="545" spans="1:17">
      <c r="A545" s="4"/>
      <c r="B545" s="4" t="s">
        <v>292</v>
      </c>
      <c r="C545" s="4"/>
      <c r="D545" s="4"/>
      <c r="E545" s="4"/>
      <c r="F545" s="233" t="s">
        <v>480</v>
      </c>
      <c r="G545" s="233" t="s">
        <v>479</v>
      </c>
      <c r="H545" s="233" t="s">
        <v>479</v>
      </c>
      <c r="I545" s="9">
        <f t="shared" si="495"/>
        <v>0</v>
      </c>
      <c r="J545" s="9"/>
      <c r="K545" s="4"/>
      <c r="L545" s="9">
        <f t="shared" si="499"/>
        <v>0</v>
      </c>
      <c r="M545" s="9">
        <f t="shared" si="498"/>
        <v>0</v>
      </c>
      <c r="N545" s="9">
        <f t="shared" si="497"/>
        <v>0</v>
      </c>
      <c r="O545" s="9"/>
      <c r="P545" s="9"/>
      <c r="Q545" s="4"/>
    </row>
    <row r="546" spans="1:17">
      <c r="A546" s="4"/>
      <c r="B546" s="4" t="s">
        <v>293</v>
      </c>
      <c r="C546" s="4"/>
      <c r="D546" s="4"/>
      <c r="E546" s="4"/>
      <c r="F546" s="233" t="s">
        <v>480</v>
      </c>
      <c r="G546" s="233" t="s">
        <v>487</v>
      </c>
      <c r="H546" s="234">
        <v>0.107</v>
      </c>
      <c r="I546" s="9">
        <f t="shared" si="495"/>
        <v>0</v>
      </c>
      <c r="J546" s="9"/>
      <c r="K546" s="4"/>
      <c r="L546" s="9">
        <f t="shared" si="499"/>
        <v>0</v>
      </c>
      <c r="M546" s="9">
        <f t="shared" si="498"/>
        <v>0</v>
      </c>
      <c r="N546" s="9">
        <f t="shared" si="497"/>
        <v>0</v>
      </c>
      <c r="O546" s="9"/>
      <c r="P546" s="9"/>
      <c r="Q546" s="4"/>
    </row>
    <row r="547" spans="1:17">
      <c r="A547" s="4"/>
      <c r="B547" s="4" t="s">
        <v>294</v>
      </c>
      <c r="C547" s="4"/>
      <c r="D547" s="4"/>
      <c r="E547" s="4"/>
      <c r="F547" s="233" t="s">
        <v>480</v>
      </c>
      <c r="G547" s="233" t="s">
        <v>486</v>
      </c>
      <c r="H547" s="234">
        <v>0.1115</v>
      </c>
      <c r="I547" s="9">
        <f t="shared" si="495"/>
        <v>0</v>
      </c>
      <c r="J547" s="9"/>
      <c r="K547" s="4"/>
      <c r="L547" s="9">
        <f t="shared" si="499"/>
        <v>0</v>
      </c>
      <c r="M547" s="9">
        <f t="shared" si="498"/>
        <v>0</v>
      </c>
      <c r="N547" s="9">
        <f t="shared" si="497"/>
        <v>0</v>
      </c>
      <c r="O547" s="9"/>
      <c r="P547" s="9"/>
      <c r="Q547" s="4"/>
    </row>
    <row r="548" spans="1:17">
      <c r="A548" s="4"/>
      <c r="B548" s="4" t="s">
        <v>295</v>
      </c>
      <c r="C548" s="4"/>
      <c r="D548" s="4"/>
      <c r="E548" s="4"/>
      <c r="F548" s="233" t="s">
        <v>480</v>
      </c>
      <c r="G548" s="233" t="s">
        <v>487</v>
      </c>
      <c r="H548" s="234">
        <v>0.1115</v>
      </c>
      <c r="I548" s="9">
        <f t="shared" si="495"/>
        <v>0</v>
      </c>
      <c r="J548" s="9"/>
      <c r="K548" s="4"/>
      <c r="L548" s="9">
        <f t="shared" si="499"/>
        <v>0</v>
      </c>
      <c r="M548" s="9">
        <f t="shared" si="498"/>
        <v>0</v>
      </c>
      <c r="N548" s="9">
        <f t="shared" si="497"/>
        <v>0</v>
      </c>
      <c r="O548" s="9"/>
      <c r="P548" s="9"/>
      <c r="Q548" s="4"/>
    </row>
    <row r="549" spans="1:17">
      <c r="A549" s="4"/>
      <c r="B549" s="4" t="s">
        <v>296</v>
      </c>
      <c r="C549" s="4"/>
      <c r="D549" s="4"/>
      <c r="E549" s="4"/>
      <c r="F549" s="233" t="s">
        <v>480</v>
      </c>
      <c r="G549" s="233" t="s">
        <v>487</v>
      </c>
      <c r="H549" s="234">
        <v>0.1125</v>
      </c>
      <c r="I549" s="9">
        <f t="shared" si="495"/>
        <v>0</v>
      </c>
      <c r="J549" s="9"/>
      <c r="K549" s="4"/>
      <c r="L549" s="9">
        <f t="shared" si="499"/>
        <v>0</v>
      </c>
      <c r="M549" s="9">
        <f t="shared" si="498"/>
        <v>0</v>
      </c>
      <c r="N549" s="9">
        <f t="shared" si="497"/>
        <v>0</v>
      </c>
      <c r="O549" s="9"/>
      <c r="P549" s="9"/>
      <c r="Q549" s="4"/>
    </row>
    <row r="550" spans="1:17">
      <c r="A550" s="4"/>
      <c r="B550" s="4" t="s">
        <v>297</v>
      </c>
      <c r="C550" s="4"/>
      <c r="D550" s="4"/>
      <c r="E550" s="4"/>
      <c r="F550" s="233" t="s">
        <v>480</v>
      </c>
      <c r="G550" s="233" t="s">
        <v>486</v>
      </c>
      <c r="H550" s="234">
        <v>0.1115</v>
      </c>
      <c r="I550" s="9">
        <f t="shared" si="495"/>
        <v>0</v>
      </c>
      <c r="J550" s="9"/>
      <c r="K550" s="4"/>
      <c r="L550" s="9">
        <f t="shared" si="499"/>
        <v>0</v>
      </c>
      <c r="M550" s="9">
        <f t="shared" si="498"/>
        <v>0</v>
      </c>
      <c r="N550" s="9">
        <f t="shared" si="497"/>
        <v>0</v>
      </c>
      <c r="O550" s="9"/>
      <c r="P550" s="9"/>
      <c r="Q550" s="4"/>
    </row>
    <row r="551" spans="1:17">
      <c r="A551" s="4"/>
      <c r="B551" s="200" t="s">
        <v>469</v>
      </c>
      <c r="C551" s="4"/>
      <c r="D551" s="4"/>
      <c r="E551" s="4"/>
      <c r="F551" s="233" t="s">
        <v>479</v>
      </c>
      <c r="G551" s="233" t="s">
        <v>479</v>
      </c>
      <c r="H551" s="233" t="s">
        <v>479</v>
      </c>
      <c r="I551" s="9">
        <f t="shared" ref="I551" si="500">+L499</f>
        <v>0</v>
      </c>
      <c r="J551" s="9"/>
      <c r="K551" s="4"/>
      <c r="L551" s="9">
        <f t="shared" si="499"/>
        <v>0</v>
      </c>
      <c r="M551" s="9">
        <f t="shared" si="498"/>
        <v>0</v>
      </c>
      <c r="N551" s="9">
        <f t="shared" si="497"/>
        <v>0</v>
      </c>
      <c r="O551" s="9"/>
      <c r="P551" s="9"/>
      <c r="Q551" s="4"/>
    </row>
    <row r="552" spans="1:17">
      <c r="A552" s="4"/>
      <c r="B552" s="4" t="s">
        <v>298</v>
      </c>
      <c r="C552" s="4"/>
      <c r="D552" s="4"/>
      <c r="E552" s="4"/>
      <c r="F552" s="233" t="s">
        <v>480</v>
      </c>
      <c r="G552" s="233" t="s">
        <v>486</v>
      </c>
      <c r="H552" s="234">
        <v>0.1095</v>
      </c>
      <c r="I552" s="9">
        <f t="shared" ref="I552:I556" si="501">+L500</f>
        <v>0</v>
      </c>
      <c r="J552" s="9"/>
      <c r="K552" s="4"/>
      <c r="L552" s="9">
        <f t="shared" si="499"/>
        <v>0</v>
      </c>
      <c r="M552" s="9">
        <f t="shared" si="498"/>
        <v>0</v>
      </c>
      <c r="N552" s="9">
        <f t="shared" si="497"/>
        <v>0</v>
      </c>
      <c r="O552" s="9"/>
      <c r="P552" s="9"/>
      <c r="Q552" s="4"/>
    </row>
    <row r="553" spans="1:17">
      <c r="A553" s="4"/>
      <c r="B553" s="4" t="s">
        <v>299</v>
      </c>
      <c r="C553" s="4"/>
      <c r="D553" s="4"/>
      <c r="E553" s="4"/>
      <c r="F553" s="233" t="s">
        <v>477</v>
      </c>
      <c r="G553" s="233" t="s">
        <v>488</v>
      </c>
      <c r="H553" s="234">
        <v>0.1075</v>
      </c>
      <c r="I553" s="9">
        <f t="shared" si="501"/>
        <v>36.229999999999976</v>
      </c>
      <c r="J553" s="9"/>
      <c r="K553" s="4">
        <v>6.34</v>
      </c>
      <c r="L553" s="9">
        <f t="shared" si="499"/>
        <v>29.889999999999976</v>
      </c>
      <c r="M553" s="9">
        <v>3.06</v>
      </c>
      <c r="N553" s="9">
        <f t="shared" si="497"/>
        <v>3.06</v>
      </c>
      <c r="O553" s="9"/>
      <c r="P553" s="9"/>
      <c r="Q553" s="4"/>
    </row>
    <row r="554" spans="1:17">
      <c r="A554" s="4"/>
      <c r="B554" s="4" t="s">
        <v>300</v>
      </c>
      <c r="C554" s="4"/>
      <c r="D554" s="4"/>
      <c r="E554" s="4"/>
      <c r="F554" s="233" t="s">
        <v>480</v>
      </c>
      <c r="G554" s="233" t="s">
        <v>486</v>
      </c>
      <c r="H554" s="234">
        <v>0.115</v>
      </c>
      <c r="I554" s="9">
        <f t="shared" si="501"/>
        <v>0</v>
      </c>
      <c r="J554" s="9"/>
      <c r="K554" s="4"/>
      <c r="L554" s="9">
        <f t="shared" si="499"/>
        <v>0</v>
      </c>
      <c r="M554" s="9">
        <f t="shared" si="498"/>
        <v>0</v>
      </c>
      <c r="N554" s="9">
        <f t="shared" si="497"/>
        <v>0</v>
      </c>
      <c r="O554" s="9"/>
      <c r="P554" s="9"/>
      <c r="Q554" s="4"/>
    </row>
    <row r="555" spans="1:17">
      <c r="A555" s="4"/>
      <c r="B555" s="4" t="s">
        <v>372</v>
      </c>
      <c r="C555" s="4"/>
      <c r="D555" s="4"/>
      <c r="E555" s="4"/>
      <c r="F555" s="233" t="s">
        <v>480</v>
      </c>
      <c r="G555" s="233" t="s">
        <v>487</v>
      </c>
      <c r="H555" s="234">
        <v>9.7500000000000003E-2</v>
      </c>
      <c r="I555" s="9">
        <f t="shared" si="501"/>
        <v>4.17</v>
      </c>
      <c r="J555" s="9"/>
      <c r="K555" s="4">
        <v>2.5099999999999998</v>
      </c>
      <c r="L555" s="9">
        <f>+I555+J555-K555</f>
        <v>1.6600000000000001</v>
      </c>
      <c r="M555" s="9">
        <v>0.28999999999999998</v>
      </c>
      <c r="N555" s="9">
        <f t="shared" si="497"/>
        <v>0.28999999999999998</v>
      </c>
      <c r="O555" s="9"/>
      <c r="P555" s="9"/>
      <c r="Q555" s="4"/>
    </row>
    <row r="556" spans="1:17">
      <c r="A556" s="4"/>
      <c r="B556" s="4" t="s">
        <v>410</v>
      </c>
      <c r="C556" s="4"/>
      <c r="D556" s="4"/>
      <c r="E556" s="4"/>
      <c r="F556" s="233" t="s">
        <v>480</v>
      </c>
      <c r="G556" s="233" t="s">
        <v>486</v>
      </c>
      <c r="H556" s="234">
        <v>0.11</v>
      </c>
      <c r="I556" s="9">
        <f t="shared" si="501"/>
        <v>0</v>
      </c>
      <c r="J556" s="9"/>
      <c r="K556" s="4"/>
      <c r="L556" s="9">
        <f>+I556+J556-K556</f>
        <v>0</v>
      </c>
      <c r="M556" s="9">
        <f t="shared" si="498"/>
        <v>0</v>
      </c>
      <c r="N556" s="9">
        <f t="shared" si="497"/>
        <v>0</v>
      </c>
      <c r="O556" s="9"/>
      <c r="P556" s="9"/>
      <c r="Q556" s="4"/>
    </row>
    <row r="557" spans="1:17">
      <c r="A557" s="89"/>
      <c r="B557" s="89"/>
      <c r="C557" s="89"/>
      <c r="D557" s="89"/>
      <c r="E557" s="89"/>
      <c r="F557" s="89"/>
      <c r="G557" s="89"/>
      <c r="H557" s="90"/>
      <c r="I557" s="29">
        <f>SUM(I535:I556)</f>
        <v>11354.709999999997</v>
      </c>
      <c r="J557" s="29">
        <f t="shared" ref="J557:P557" si="502">SUM(J535:J556)</f>
        <v>918.07999999999993</v>
      </c>
      <c r="K557" s="29">
        <f t="shared" si="502"/>
        <v>929.18</v>
      </c>
      <c r="L557" s="29">
        <f t="shared" si="502"/>
        <v>11343.609999999997</v>
      </c>
      <c r="M557" s="29">
        <f t="shared" si="502"/>
        <v>1192.1300000000001</v>
      </c>
      <c r="N557" s="29">
        <f t="shared" si="502"/>
        <v>1192.1300000000001</v>
      </c>
      <c r="O557" s="29">
        <f t="shared" si="502"/>
        <v>0</v>
      </c>
      <c r="P557" s="29">
        <f t="shared" si="502"/>
        <v>0</v>
      </c>
      <c r="Q557" s="89"/>
    </row>
    <row r="558" spans="1:17">
      <c r="A558" s="28"/>
      <c r="B558" s="28"/>
      <c r="C558" s="28"/>
      <c r="D558" s="28"/>
      <c r="E558" s="28"/>
      <c r="F558" s="28"/>
      <c r="G558" s="28"/>
      <c r="H558" s="91"/>
      <c r="I558" s="29">
        <f t="shared" ref="I558" si="503">+I527+I530+I533+I557</f>
        <v>11354.709999999997</v>
      </c>
      <c r="J558" s="29">
        <f t="shared" ref="J558" si="504">+J527+J530+J533+J557</f>
        <v>918.07999999999993</v>
      </c>
      <c r="K558" s="29">
        <f t="shared" ref="K558" si="505">+K527+K530+K533+K557</f>
        <v>929.18</v>
      </c>
      <c r="L558" s="29">
        <f t="shared" ref="L558" si="506">+L527+L530+L533+L557</f>
        <v>11343.609999999997</v>
      </c>
      <c r="M558" s="29">
        <f t="shared" ref="M558" si="507">+M527+M530+M533+M557</f>
        <v>1192.1300000000001</v>
      </c>
      <c r="N558" s="29">
        <f t="shared" ref="N558" si="508">+N527+N530+N533+N557</f>
        <v>1192.1300000000001</v>
      </c>
      <c r="O558" s="29">
        <f t="shared" ref="O558" si="509">+O527+O530+O533+O557</f>
        <v>0</v>
      </c>
      <c r="P558" s="29">
        <f t="shared" ref="P558" si="510">+P527+P530+P533+P557</f>
        <v>0</v>
      </c>
      <c r="Q558" s="28"/>
    </row>
    <row r="559" spans="1:17" ht="15.75">
      <c r="A559" s="92" t="s">
        <v>282</v>
      </c>
      <c r="B559" s="4"/>
      <c r="C559" s="4"/>
      <c r="D559" s="4"/>
      <c r="E559" s="4"/>
      <c r="F559" s="4"/>
      <c r="G559" s="4"/>
      <c r="H559" s="58"/>
      <c r="I559" s="4"/>
      <c r="J559" s="4"/>
      <c r="K559" s="4"/>
      <c r="L559" s="4"/>
      <c r="M559" s="4"/>
      <c r="N559" s="4"/>
      <c r="O559" s="4"/>
      <c r="P559" s="4"/>
      <c r="Q559" s="4"/>
    </row>
    <row r="560" spans="1:17">
      <c r="A560" s="18" t="s">
        <v>276</v>
      </c>
      <c r="B560" s="4"/>
      <c r="C560" s="4"/>
      <c r="D560" s="4"/>
      <c r="E560" s="4"/>
      <c r="F560" s="4"/>
      <c r="G560" s="4"/>
      <c r="H560" s="58"/>
      <c r="I560" s="5"/>
      <c r="J560" s="5"/>
      <c r="K560" s="5"/>
      <c r="L560" s="5"/>
      <c r="M560" s="5"/>
      <c r="N560" s="5"/>
      <c r="O560" s="5"/>
      <c r="P560" s="5"/>
      <c r="Q560" s="4"/>
    </row>
    <row r="561" spans="1:17">
      <c r="A561" s="18"/>
      <c r="B561" s="4"/>
      <c r="C561" s="4"/>
      <c r="D561" s="4"/>
      <c r="E561" s="4"/>
      <c r="F561" s="4"/>
      <c r="G561" s="4"/>
      <c r="H561" s="58"/>
      <c r="I561" s="9">
        <f t="shared" ref="I561" si="511">+L509</f>
        <v>0</v>
      </c>
      <c r="J561" s="5"/>
      <c r="K561" s="36"/>
      <c r="L561" s="9">
        <f>+I561+J561-K561</f>
        <v>0</v>
      </c>
      <c r="M561" s="4"/>
      <c r="N561" s="9">
        <f>+M561</f>
        <v>0</v>
      </c>
      <c r="O561" s="9"/>
      <c r="P561" s="9"/>
      <c r="Q561" s="4"/>
    </row>
    <row r="562" spans="1:17">
      <c r="A562" s="89"/>
      <c r="B562" s="89"/>
      <c r="C562" s="89"/>
      <c r="D562" s="89"/>
      <c r="E562" s="89"/>
      <c r="F562" s="89"/>
      <c r="G562" s="89"/>
      <c r="H562" s="90"/>
      <c r="I562" s="29">
        <f t="shared" ref="I562" si="512">SUM(I561:I561)</f>
        <v>0</v>
      </c>
      <c r="J562" s="29">
        <f t="shared" ref="J562" si="513">SUM(J561:J561)</f>
        <v>0</v>
      </c>
      <c r="K562" s="29">
        <f t="shared" ref="K562" si="514">SUM(K561:K561)</f>
        <v>0</v>
      </c>
      <c r="L562" s="29">
        <f t="shared" ref="L562" si="515">SUM(L561:L561)</f>
        <v>0</v>
      </c>
      <c r="M562" s="29">
        <f t="shared" ref="M562" si="516">SUM(M561:M561)</f>
        <v>0</v>
      </c>
      <c r="N562" s="29">
        <f t="shared" ref="N562" si="517">SUM(N561:N561)</f>
        <v>0</v>
      </c>
      <c r="O562" s="29">
        <f t="shared" ref="O562" si="518">SUM(O561:O561)</f>
        <v>0</v>
      </c>
      <c r="P562" s="29">
        <f t="shared" ref="P562" si="519">SUM(P561:P561)</f>
        <v>0</v>
      </c>
      <c r="Q562" s="89"/>
    </row>
    <row r="563" spans="1:17">
      <c r="A563" s="18" t="s">
        <v>277</v>
      </c>
      <c r="B563" s="4"/>
      <c r="C563" s="4"/>
      <c r="D563" s="4"/>
      <c r="E563" s="4"/>
      <c r="F563" s="4"/>
      <c r="G563" s="4"/>
      <c r="H563" s="58"/>
      <c r="I563" s="5"/>
      <c r="J563" s="5"/>
      <c r="K563" s="5"/>
      <c r="L563" s="5"/>
      <c r="M563" s="5"/>
      <c r="N563" s="5"/>
      <c r="O563" s="5"/>
      <c r="P563" s="5"/>
      <c r="Q563" s="4"/>
    </row>
    <row r="564" spans="1:17">
      <c r="A564" s="4"/>
      <c r="B564" s="4"/>
      <c r="C564" s="4"/>
      <c r="D564" s="4"/>
      <c r="E564" s="4"/>
      <c r="F564" s="4"/>
      <c r="G564" s="4"/>
      <c r="H564" s="58"/>
      <c r="I564" s="9">
        <f t="shared" ref="I564" si="520">+L512</f>
        <v>0</v>
      </c>
      <c r="J564" s="4"/>
      <c r="K564" s="4"/>
      <c r="L564" s="9">
        <f>+I564+J564-K564</f>
        <v>0</v>
      </c>
      <c r="M564" s="4"/>
      <c r="N564" s="9">
        <f>+M564</f>
        <v>0</v>
      </c>
      <c r="O564" s="9"/>
      <c r="P564" s="9"/>
      <c r="Q564" s="4"/>
    </row>
    <row r="565" spans="1:17">
      <c r="A565" s="89"/>
      <c r="B565" s="89"/>
      <c r="C565" s="89"/>
      <c r="D565" s="89"/>
      <c r="E565" s="89"/>
      <c r="F565" s="89"/>
      <c r="G565" s="89"/>
      <c r="H565" s="90"/>
      <c r="I565" s="29">
        <f>+I564</f>
        <v>0</v>
      </c>
      <c r="J565" s="29">
        <f t="shared" ref="J565:P565" si="521">+J564</f>
        <v>0</v>
      </c>
      <c r="K565" s="29">
        <f t="shared" si="521"/>
        <v>0</v>
      </c>
      <c r="L565" s="29">
        <f t="shared" si="521"/>
        <v>0</v>
      </c>
      <c r="M565" s="29">
        <f t="shared" si="521"/>
        <v>0</v>
      </c>
      <c r="N565" s="29">
        <f t="shared" si="521"/>
        <v>0</v>
      </c>
      <c r="O565" s="29">
        <f t="shared" si="521"/>
        <v>0</v>
      </c>
      <c r="P565" s="29">
        <f t="shared" si="521"/>
        <v>0</v>
      </c>
      <c r="Q565" s="89"/>
    </row>
    <row r="566" spans="1:17">
      <c r="A566" s="18" t="s">
        <v>278</v>
      </c>
      <c r="B566" s="4"/>
      <c r="C566" s="4"/>
      <c r="D566" s="4"/>
      <c r="E566" s="4"/>
      <c r="F566" s="4"/>
      <c r="G566" s="4"/>
      <c r="H566" s="58"/>
      <c r="I566" s="5"/>
      <c r="J566" s="5"/>
      <c r="K566" s="5"/>
      <c r="L566" s="5"/>
      <c r="M566" s="5"/>
      <c r="N566" s="5"/>
      <c r="O566" s="5"/>
      <c r="P566" s="5"/>
      <c r="Q566" s="4"/>
    </row>
    <row r="567" spans="1:17">
      <c r="A567" s="4"/>
      <c r="B567" s="200" t="s">
        <v>476</v>
      </c>
      <c r="C567" s="4"/>
      <c r="D567" s="4"/>
      <c r="E567" s="4"/>
      <c r="F567" s="4"/>
      <c r="G567" s="4"/>
      <c r="H567" s="58"/>
      <c r="I567" s="9">
        <f t="shared" ref="I567" si="522">+L515</f>
        <v>347.08000000000004</v>
      </c>
      <c r="J567" s="4"/>
      <c r="K567" s="9">
        <v>48.64</v>
      </c>
      <c r="L567" s="9">
        <f>+I567+J567-K567</f>
        <v>298.44000000000005</v>
      </c>
      <c r="M567" s="9">
        <f t="shared" ref="M567" si="523">+((I567+L567)/2)*10/100</f>
        <v>32.276000000000003</v>
      </c>
      <c r="N567" s="9">
        <f>+M567</f>
        <v>32.276000000000003</v>
      </c>
      <c r="O567" s="9"/>
      <c r="P567" s="9"/>
      <c r="Q567" s="4"/>
    </row>
    <row r="568" spans="1:17">
      <c r="A568" s="89"/>
      <c r="B568" s="89"/>
      <c r="C568" s="89"/>
      <c r="D568" s="89"/>
      <c r="E568" s="89"/>
      <c r="F568" s="89"/>
      <c r="G568" s="89"/>
      <c r="H568" s="90"/>
      <c r="I568" s="29">
        <f>+I567</f>
        <v>347.08000000000004</v>
      </c>
      <c r="J568" s="29">
        <f t="shared" ref="J568:P568" si="524">+J567</f>
        <v>0</v>
      </c>
      <c r="K568" s="29">
        <f t="shared" si="524"/>
        <v>48.64</v>
      </c>
      <c r="L568" s="29">
        <f t="shared" si="524"/>
        <v>298.44000000000005</v>
      </c>
      <c r="M568" s="29">
        <f t="shared" si="524"/>
        <v>32.276000000000003</v>
      </c>
      <c r="N568" s="29">
        <f t="shared" si="524"/>
        <v>32.276000000000003</v>
      </c>
      <c r="O568" s="29">
        <f t="shared" si="524"/>
        <v>0</v>
      </c>
      <c r="P568" s="29">
        <f t="shared" si="524"/>
        <v>0</v>
      </c>
      <c r="Q568" s="89"/>
    </row>
    <row r="569" spans="1:17">
      <c r="A569" s="4"/>
      <c r="B569" s="4" t="s">
        <v>383</v>
      </c>
      <c r="C569" s="4"/>
      <c r="D569" s="4"/>
      <c r="E569" s="4"/>
      <c r="F569" s="4"/>
      <c r="G569" s="4"/>
      <c r="H569" s="58"/>
      <c r="I569" s="9">
        <f t="shared" ref="I569" si="525">+L517</f>
        <v>0</v>
      </c>
      <c r="J569" s="4"/>
      <c r="K569" s="4"/>
      <c r="L569" s="9">
        <f>+I569+J569-K569</f>
        <v>0</v>
      </c>
      <c r="M569" s="4"/>
      <c r="N569" s="9">
        <f>+M569</f>
        <v>0</v>
      </c>
      <c r="O569" s="9"/>
      <c r="P569" s="9"/>
      <c r="Q569" s="4"/>
    </row>
    <row r="570" spans="1:17">
      <c r="A570" s="89"/>
      <c r="B570" s="89"/>
      <c r="C570" s="89"/>
      <c r="D570" s="89"/>
      <c r="E570" s="89"/>
      <c r="F570" s="89"/>
      <c r="G570" s="89"/>
      <c r="H570" s="90"/>
      <c r="I570" s="29">
        <f>+I569</f>
        <v>0</v>
      </c>
      <c r="J570" s="29">
        <f t="shared" ref="J570" si="526">+J569</f>
        <v>0</v>
      </c>
      <c r="K570" s="29">
        <f t="shared" ref="K570" si="527">+K569</f>
        <v>0</v>
      </c>
      <c r="L570" s="29">
        <f t="shared" ref="L570" si="528">+L569</f>
        <v>0</v>
      </c>
      <c r="M570" s="29">
        <f t="shared" ref="M570" si="529">+M569</f>
        <v>0</v>
      </c>
      <c r="N570" s="29">
        <f t="shared" ref="N570" si="530">+N569</f>
        <v>0</v>
      </c>
      <c r="O570" s="29">
        <f t="shared" ref="O570" si="531">+O569</f>
        <v>0</v>
      </c>
      <c r="P570" s="29">
        <f t="shared" ref="P570" si="532">+P569</f>
        <v>0</v>
      </c>
      <c r="Q570" s="89"/>
    </row>
    <row r="571" spans="1:17">
      <c r="A571" s="89"/>
      <c r="B571" s="89"/>
      <c r="C571" s="89"/>
      <c r="D571" s="89"/>
      <c r="E571" s="89"/>
      <c r="F571" s="89"/>
      <c r="G571" s="89"/>
      <c r="H571" s="90"/>
      <c r="I571" s="29">
        <f>+I570+I568+I565+I562</f>
        <v>347.08000000000004</v>
      </c>
      <c r="J571" s="29">
        <f t="shared" ref="J571" si="533">+J570+J568+J565+J562</f>
        <v>0</v>
      </c>
      <c r="K571" s="29">
        <f t="shared" ref="K571" si="534">+K570+K568+K565+K562</f>
        <v>48.64</v>
      </c>
      <c r="L571" s="29">
        <f t="shared" ref="L571" si="535">+L570+L568+L565+L562</f>
        <v>298.44000000000005</v>
      </c>
      <c r="M571" s="29">
        <f t="shared" ref="M571" si="536">+M570+M568+M565+M562</f>
        <v>32.276000000000003</v>
      </c>
      <c r="N571" s="29">
        <f t="shared" ref="N571" si="537">+N570+N568+N565+N562</f>
        <v>32.276000000000003</v>
      </c>
      <c r="O571" s="29">
        <f t="shared" ref="O571" si="538">+O570+O568+O565+O562</f>
        <v>0</v>
      </c>
      <c r="P571" s="29">
        <f t="shared" ref="P571" si="539">+P570+P568+P565+P562</f>
        <v>0</v>
      </c>
      <c r="Q571" s="89"/>
    </row>
    <row r="572" spans="1:17">
      <c r="A572" s="28"/>
      <c r="B572" s="28"/>
      <c r="C572" s="28"/>
      <c r="D572" s="28"/>
      <c r="E572" s="28"/>
      <c r="F572" s="28"/>
      <c r="G572" s="28"/>
      <c r="H572" s="91"/>
      <c r="I572" s="29">
        <f>+I571+I558</f>
        <v>11701.789999999997</v>
      </c>
      <c r="J572" s="29">
        <f t="shared" ref="J572" si="540">+J571+J558</f>
        <v>918.07999999999993</v>
      </c>
      <c r="K572" s="29">
        <f t="shared" ref="K572" si="541">+K571+K558</f>
        <v>977.81999999999994</v>
      </c>
      <c r="L572" s="29">
        <f t="shared" ref="L572" si="542">+L571+L558</f>
        <v>11642.049999999997</v>
      </c>
      <c r="M572" s="29">
        <f t="shared" ref="M572" si="543">+M571+M558</f>
        <v>1224.4060000000002</v>
      </c>
      <c r="N572" s="29">
        <f t="shared" ref="N572" si="544">+N571+N558</f>
        <v>1224.4060000000002</v>
      </c>
      <c r="O572" s="29">
        <f t="shared" ref="O572" si="545">+O571+O558</f>
        <v>0</v>
      </c>
      <c r="P572" s="29">
        <f t="shared" ref="P572" si="546">+P571+P558</f>
        <v>0</v>
      </c>
      <c r="Q572" s="28"/>
    </row>
    <row r="573" spans="1:17">
      <c r="H573"/>
    </row>
    <row r="574" spans="1:17">
      <c r="H574"/>
    </row>
    <row r="575" spans="1:17">
      <c r="H575"/>
    </row>
    <row r="576" spans="1:17">
      <c r="H576"/>
    </row>
    <row r="577" spans="8:8">
      <c r="H577"/>
    </row>
    <row r="578" spans="8:8">
      <c r="H578"/>
    </row>
    <row r="579" spans="8:8">
      <c r="H579"/>
    </row>
    <row r="580" spans="8:8">
      <c r="H580"/>
    </row>
    <row r="581" spans="8:8">
      <c r="H581"/>
    </row>
    <row r="582" spans="8:8">
      <c r="H582"/>
    </row>
    <row r="583" spans="8:8">
      <c r="H583"/>
    </row>
    <row r="584" spans="8:8">
      <c r="H584"/>
    </row>
    <row r="585" spans="8:8">
      <c r="H585"/>
    </row>
    <row r="586" spans="8:8">
      <c r="H586"/>
    </row>
    <row r="587" spans="8:8">
      <c r="H587"/>
    </row>
    <row r="588" spans="8:8">
      <c r="H588"/>
    </row>
    <row r="589" spans="8:8">
      <c r="H589"/>
    </row>
    <row r="590" spans="8:8">
      <c r="H590"/>
    </row>
    <row r="591" spans="8:8">
      <c r="H591"/>
    </row>
    <row r="592" spans="8:8">
      <c r="H592"/>
    </row>
    <row r="593" spans="8:8">
      <c r="H593"/>
    </row>
    <row r="594" spans="8:8">
      <c r="H594"/>
    </row>
    <row r="595" spans="8:8">
      <c r="H595"/>
    </row>
    <row r="596" spans="8:8">
      <c r="H596"/>
    </row>
    <row r="597" spans="8:8">
      <c r="H597"/>
    </row>
    <row r="598" spans="8:8">
      <c r="H598"/>
    </row>
    <row r="599" spans="8:8">
      <c r="H599"/>
    </row>
    <row r="600" spans="8:8">
      <c r="H600"/>
    </row>
    <row r="601" spans="8:8">
      <c r="H601"/>
    </row>
    <row r="602" spans="8:8">
      <c r="H602"/>
    </row>
    <row r="603" spans="8:8">
      <c r="H603"/>
    </row>
    <row r="604" spans="8:8">
      <c r="H604"/>
    </row>
    <row r="605" spans="8:8">
      <c r="H605"/>
    </row>
    <row r="606" spans="8:8">
      <c r="H606"/>
    </row>
    <row r="607" spans="8:8">
      <c r="H607"/>
    </row>
    <row r="608" spans="8:8">
      <c r="H608"/>
    </row>
    <row r="609" spans="1:8">
      <c r="H609"/>
    </row>
    <row r="610" spans="1:8">
      <c r="H610"/>
    </row>
    <row r="611" spans="1:8">
      <c r="H611"/>
    </row>
    <row r="612" spans="1:8">
      <c r="H612"/>
    </row>
    <row r="613" spans="1:8">
      <c r="H613"/>
    </row>
    <row r="614" spans="1:8">
      <c r="H614"/>
    </row>
    <row r="615" spans="1:8">
      <c r="H615"/>
    </row>
    <row r="616" spans="1:8">
      <c r="H616"/>
    </row>
    <row r="617" spans="1:8">
      <c r="H617"/>
    </row>
    <row r="618" spans="1:8">
      <c r="H618"/>
    </row>
    <row r="619" spans="1:8">
      <c r="A619" s="16" t="e">
        <f>+#REF!+#REF!</f>
        <v>#REF!</v>
      </c>
      <c r="B619" t="e">
        <f>+#REF!*12/100</f>
        <v>#REF!</v>
      </c>
      <c r="H619"/>
    </row>
    <row r="620" spans="1:8">
      <c r="H620"/>
    </row>
    <row r="621" spans="1:8">
      <c r="H621"/>
    </row>
    <row r="622" spans="1:8">
      <c r="H622"/>
    </row>
    <row r="623" spans="1:8">
      <c r="H623"/>
    </row>
    <row r="624" spans="1:8">
      <c r="H624"/>
    </row>
    <row r="625" spans="1:8">
      <c r="H625"/>
    </row>
    <row r="626" spans="1:8">
      <c r="H626"/>
    </row>
    <row r="627" spans="1:8">
      <c r="H627"/>
    </row>
    <row r="628" spans="1:8">
      <c r="A628" s="16" t="e">
        <f>+#REF!+#REF!</f>
        <v>#REF!</v>
      </c>
      <c r="B628" t="e">
        <f>+#REF!*12/100</f>
        <v>#REF!</v>
      </c>
      <c r="H628"/>
    </row>
    <row r="629" spans="1:8">
      <c r="H629"/>
    </row>
    <row r="630" spans="1:8">
      <c r="H630"/>
    </row>
    <row r="631" spans="1:8">
      <c r="H631"/>
    </row>
    <row r="632" spans="1:8">
      <c r="H632"/>
    </row>
    <row r="633" spans="1:8">
      <c r="H633"/>
    </row>
    <row r="634" spans="1:8">
      <c r="H634"/>
    </row>
    <row r="635" spans="1:8">
      <c r="H635"/>
    </row>
    <row r="636" spans="1:8">
      <c r="H636"/>
    </row>
    <row r="637" spans="1:8">
      <c r="H637"/>
    </row>
    <row r="638" spans="1:8">
      <c r="H638"/>
    </row>
    <row r="639" spans="1:8">
      <c r="H639"/>
    </row>
    <row r="640" spans="1:8">
      <c r="H640"/>
    </row>
    <row r="641" spans="2:8">
      <c r="H641"/>
    </row>
    <row r="642" spans="2:8">
      <c r="H642"/>
    </row>
    <row r="643" spans="2:8">
      <c r="H643"/>
    </row>
    <row r="644" spans="2:8">
      <c r="H644"/>
    </row>
    <row r="645" spans="2:8">
      <c r="H645"/>
    </row>
    <row r="646" spans="2:8">
      <c r="H646"/>
    </row>
    <row r="647" spans="2:8">
      <c r="H647"/>
    </row>
    <row r="648" spans="2:8">
      <c r="H648"/>
    </row>
    <row r="649" spans="2:8">
      <c r="H649"/>
    </row>
    <row r="650" spans="2:8">
      <c r="H650"/>
    </row>
    <row r="651" spans="2:8">
      <c r="H651"/>
    </row>
    <row r="652" spans="2:8">
      <c r="H652"/>
    </row>
    <row r="653" spans="2:8">
      <c r="H653"/>
    </row>
    <row r="654" spans="2:8">
      <c r="H654"/>
    </row>
    <row r="655" spans="2:8">
      <c r="H655"/>
    </row>
    <row r="656" spans="2:8">
      <c r="B656" t="e">
        <f>+(#REF!+#REF!)</f>
        <v>#REF!</v>
      </c>
      <c r="C656" t="e">
        <f>+B656/2</f>
        <v>#REF!</v>
      </c>
      <c r="D656" t="e">
        <f>+#REF!/C656*100</f>
        <v>#REF!</v>
      </c>
      <c r="H656"/>
    </row>
    <row r="657" spans="8:8">
      <c r="H657"/>
    </row>
    <row r="658" spans="8:8">
      <c r="H658"/>
    </row>
    <row r="659" spans="8:8">
      <c r="H659"/>
    </row>
    <row r="660" spans="8:8">
      <c r="H660"/>
    </row>
    <row r="661" spans="8:8">
      <c r="H661"/>
    </row>
    <row r="662" spans="8:8">
      <c r="H662"/>
    </row>
    <row r="663" spans="8:8">
      <c r="H663"/>
    </row>
    <row r="664" spans="8:8">
      <c r="H664"/>
    </row>
    <row r="665" spans="8:8">
      <c r="H665"/>
    </row>
    <row r="666" spans="8:8">
      <c r="H666"/>
    </row>
    <row r="667" spans="8:8">
      <c r="H667"/>
    </row>
    <row r="668" spans="8:8">
      <c r="H668"/>
    </row>
    <row r="669" spans="8:8">
      <c r="H669"/>
    </row>
    <row r="670" spans="8:8">
      <c r="H670"/>
    </row>
    <row r="671" spans="8:8">
      <c r="H671"/>
    </row>
    <row r="672" spans="8:8">
      <c r="H672"/>
    </row>
    <row r="673" spans="1:8">
      <c r="H673"/>
    </row>
    <row r="674" spans="1:8">
      <c r="H674"/>
    </row>
    <row r="675" spans="1:8">
      <c r="H675"/>
    </row>
    <row r="676" spans="1:8">
      <c r="H676"/>
    </row>
    <row r="677" spans="1:8">
      <c r="H677"/>
    </row>
    <row r="678" spans="1:8">
      <c r="H678"/>
    </row>
    <row r="679" spans="1:8">
      <c r="H679"/>
    </row>
    <row r="680" spans="1:8">
      <c r="H680"/>
    </row>
    <row r="681" spans="1:8">
      <c r="H681"/>
    </row>
    <row r="682" spans="1:8">
      <c r="H682"/>
    </row>
    <row r="683" spans="1:8">
      <c r="H683"/>
    </row>
    <row r="684" spans="1:8">
      <c r="A684" s="16" t="e">
        <f>+#REF!+#REF!</f>
        <v>#REF!</v>
      </c>
      <c r="B684" t="e">
        <f>+#REF!*12/100</f>
        <v>#REF!</v>
      </c>
      <c r="H684"/>
    </row>
    <row r="685" spans="1:8">
      <c r="H685"/>
    </row>
    <row r="686" spans="1:8">
      <c r="H686"/>
    </row>
    <row r="687" spans="1:8">
      <c r="H687"/>
    </row>
    <row r="688" spans="1:8">
      <c r="H688"/>
    </row>
    <row r="689" spans="8:8">
      <c r="H689"/>
    </row>
    <row r="690" spans="8:8">
      <c r="H690"/>
    </row>
    <row r="691" spans="8:8">
      <c r="H691"/>
    </row>
    <row r="692" spans="8:8">
      <c r="H692"/>
    </row>
    <row r="693" spans="8:8">
      <c r="H693"/>
    </row>
    <row r="694" spans="8:8">
      <c r="H694"/>
    </row>
    <row r="695" spans="8:8">
      <c r="H695"/>
    </row>
    <row r="696" spans="8:8">
      <c r="H696"/>
    </row>
    <row r="697" spans="8:8">
      <c r="H697"/>
    </row>
    <row r="698" spans="8:8">
      <c r="H698"/>
    </row>
    <row r="699" spans="8:8">
      <c r="H699"/>
    </row>
    <row r="700" spans="8:8">
      <c r="H700"/>
    </row>
    <row r="701" spans="8:8">
      <c r="H701"/>
    </row>
    <row r="702" spans="8:8">
      <c r="H702"/>
    </row>
    <row r="703" spans="8:8">
      <c r="H703"/>
    </row>
    <row r="704" spans="8:8">
      <c r="H704"/>
    </row>
    <row r="705" spans="3:8">
      <c r="H705"/>
    </row>
    <row r="706" spans="3:8">
      <c r="H706"/>
    </row>
    <row r="707" spans="3:8">
      <c r="H707"/>
    </row>
    <row r="708" spans="3:8">
      <c r="H708"/>
    </row>
    <row r="709" spans="3:8">
      <c r="H709"/>
    </row>
    <row r="710" spans="3:8">
      <c r="H710"/>
    </row>
    <row r="711" spans="3:8">
      <c r="H711"/>
    </row>
    <row r="712" spans="3:8">
      <c r="H712"/>
    </row>
    <row r="713" spans="3:8">
      <c r="H713"/>
    </row>
    <row r="714" spans="3:8">
      <c r="H714"/>
    </row>
    <row r="715" spans="3:8">
      <c r="H715"/>
    </row>
    <row r="716" spans="3:8">
      <c r="H716"/>
    </row>
    <row r="717" spans="3:8">
      <c r="C717">
        <f>715/11</f>
        <v>65</v>
      </c>
      <c r="H717"/>
    </row>
    <row r="718" spans="3:8">
      <c r="H718"/>
    </row>
    <row r="719" spans="3:8">
      <c r="H719"/>
    </row>
    <row r="720" spans="3:8">
      <c r="H720"/>
    </row>
    <row r="721" spans="2:8">
      <c r="B721" t="e">
        <f>+(#REF!+#REF!)</f>
        <v>#REF!</v>
      </c>
      <c r="C721" t="e">
        <f>+B721/2</f>
        <v>#REF!</v>
      </c>
      <c r="D721" t="e">
        <f>+#REF!/C721*100</f>
        <v>#REF!</v>
      </c>
      <c r="H721"/>
    </row>
  </sheetData>
  <mergeCells count="44">
    <mergeCell ref="A1:B1"/>
    <mergeCell ref="C1:Q1"/>
    <mergeCell ref="N2:P2"/>
    <mergeCell ref="A2:B2"/>
    <mergeCell ref="A53:B53"/>
    <mergeCell ref="C53:Q53"/>
    <mergeCell ref="A54:B54"/>
    <mergeCell ref="N54:P54"/>
    <mergeCell ref="A105:B105"/>
    <mergeCell ref="C105:Q105"/>
    <mergeCell ref="A106:B106"/>
    <mergeCell ref="N106:P106"/>
    <mergeCell ref="A157:B157"/>
    <mergeCell ref="C157:Q157"/>
    <mergeCell ref="A158:B158"/>
    <mergeCell ref="N158:P158"/>
    <mergeCell ref="A209:B209"/>
    <mergeCell ref="C209:Q209"/>
    <mergeCell ref="A210:B210"/>
    <mergeCell ref="N210:P210"/>
    <mergeCell ref="A261:B261"/>
    <mergeCell ref="C261:Q261"/>
    <mergeCell ref="A262:B262"/>
    <mergeCell ref="N262:P262"/>
    <mergeCell ref="A313:B313"/>
    <mergeCell ref="C313:Q313"/>
    <mergeCell ref="A314:B314"/>
    <mergeCell ref="N314:P314"/>
    <mergeCell ref="A365:B365"/>
    <mergeCell ref="C365:Q365"/>
    <mergeCell ref="A366:B366"/>
    <mergeCell ref="N366:P366"/>
    <mergeCell ref="A417:B417"/>
    <mergeCell ref="C417:Q417"/>
    <mergeCell ref="A418:B418"/>
    <mergeCell ref="N418:P418"/>
    <mergeCell ref="A522:B522"/>
    <mergeCell ref="N522:P522"/>
    <mergeCell ref="A469:B469"/>
    <mergeCell ref="C469:Q469"/>
    <mergeCell ref="A470:B470"/>
    <mergeCell ref="N470:P470"/>
    <mergeCell ref="A521:B521"/>
    <mergeCell ref="C521:Q521"/>
  </mergeCells>
  <phoneticPr fontId="3" type="noConversion"/>
  <printOptions horizontalCentered="1"/>
  <pageMargins left="0.24" right="0.21" top="0.49" bottom="0.28999999999999998" header="0.2" footer="0.2"/>
  <pageSetup paperSize="9" scale="75" orientation="landscape" verticalDpi="4294967295" r:id="rId1"/>
  <headerFooter alignWithMargins="0"/>
  <rowBreaks count="10" manualBreakCount="10">
    <brk id="52" max="16" man="1"/>
    <brk id="104" max="16" man="1"/>
    <brk id="156" max="16" man="1"/>
    <brk id="208" max="16" man="1"/>
    <brk id="260" max="16" man="1"/>
    <brk id="312" max="16" man="1"/>
    <brk id="364" max="16" man="1"/>
    <brk id="416" max="16" man="1"/>
    <brk id="468" max="16" man="1"/>
    <brk id="520" max="16" man="1"/>
  </rowBreaks>
</worksheet>
</file>

<file path=xl/worksheets/sheet13.xml><?xml version="1.0" encoding="utf-8"?>
<worksheet xmlns="http://schemas.openxmlformats.org/spreadsheetml/2006/main" xmlns:r="http://schemas.openxmlformats.org/officeDocument/2006/relationships">
  <dimension ref="A1:I163"/>
  <sheetViews>
    <sheetView showGridLines="0" view="pageBreakPreview" topLeftCell="A141" zoomScaleSheetLayoutView="100" workbookViewId="0">
      <selection activeCell="B164" sqref="B164"/>
    </sheetView>
  </sheetViews>
  <sheetFormatPr defaultRowHeight="12.75"/>
  <cols>
    <col min="1" max="1" width="42" customWidth="1"/>
    <col min="2" max="2" width="9.85546875" bestFit="1" customWidth="1"/>
    <col min="3" max="3" width="16.42578125" bestFit="1" customWidth="1"/>
    <col min="4" max="4" width="20.28515625" bestFit="1" customWidth="1"/>
    <col min="5" max="5" width="7.7109375" bestFit="1" customWidth="1"/>
    <col min="6" max="6" width="12.5703125" bestFit="1" customWidth="1"/>
    <col min="7" max="7" width="12.42578125" customWidth="1"/>
    <col min="8" max="8" width="11.85546875" customWidth="1"/>
  </cols>
  <sheetData>
    <row r="1" spans="1:9" hidden="1">
      <c r="A1" s="10" t="s">
        <v>355</v>
      </c>
      <c r="B1" s="6"/>
    </row>
    <row r="2" spans="1:9" hidden="1">
      <c r="A2" s="26" t="s">
        <v>104</v>
      </c>
      <c r="B2" s="6"/>
    </row>
    <row r="3" spans="1:9" hidden="1">
      <c r="B3" s="16"/>
    </row>
    <row r="4" spans="1:9" hidden="1">
      <c r="A4" s="97" t="s">
        <v>17</v>
      </c>
      <c r="B4" s="88"/>
      <c r="C4" s="11"/>
      <c r="D4" s="11"/>
      <c r="E4" s="10"/>
      <c r="G4" s="57" t="s">
        <v>247</v>
      </c>
      <c r="H4" s="11"/>
      <c r="I4" s="11"/>
    </row>
    <row r="5" spans="1:9" ht="36.75" hidden="1" customHeight="1">
      <c r="A5" s="106" t="s">
        <v>0</v>
      </c>
      <c r="B5" s="107" t="s">
        <v>195</v>
      </c>
      <c r="C5" s="106" t="s">
        <v>356</v>
      </c>
      <c r="D5" s="106" t="s">
        <v>357</v>
      </c>
      <c r="E5" s="106" t="s">
        <v>358</v>
      </c>
      <c r="F5" s="106" t="s">
        <v>359</v>
      </c>
      <c r="G5" s="106" t="s">
        <v>360</v>
      </c>
      <c r="H5" s="105" t="s">
        <v>361</v>
      </c>
      <c r="I5" s="106" t="s">
        <v>101</v>
      </c>
    </row>
    <row r="6" spans="1:9" hidden="1">
      <c r="A6" s="4"/>
      <c r="B6" s="9"/>
      <c r="C6" s="4"/>
      <c r="D6" s="4"/>
      <c r="E6" s="4"/>
      <c r="F6" s="4"/>
      <c r="G6" s="4"/>
      <c r="H6" s="4"/>
      <c r="I6" s="4"/>
    </row>
    <row r="7" spans="1:9" hidden="1">
      <c r="A7" s="4"/>
      <c r="B7" s="9"/>
      <c r="C7" s="4"/>
      <c r="D7" s="4"/>
      <c r="E7" s="4"/>
      <c r="F7" s="4"/>
      <c r="G7" s="4"/>
      <c r="H7" s="4"/>
      <c r="I7" s="4"/>
    </row>
    <row r="8" spans="1:9" hidden="1">
      <c r="A8" s="4"/>
      <c r="B8" s="9"/>
      <c r="C8" s="4"/>
      <c r="D8" s="4"/>
      <c r="E8" s="4"/>
      <c r="F8" s="4"/>
      <c r="G8" s="4"/>
      <c r="H8" s="4"/>
      <c r="I8" s="4"/>
    </row>
    <row r="9" spans="1:9" hidden="1">
      <c r="A9" s="4"/>
      <c r="B9" s="9"/>
      <c r="C9" s="4"/>
      <c r="D9" s="4"/>
      <c r="E9" s="4"/>
      <c r="F9" s="4"/>
      <c r="G9" s="4"/>
      <c r="H9" s="4"/>
      <c r="I9" s="4"/>
    </row>
    <row r="10" spans="1:9" hidden="1">
      <c r="A10" s="4"/>
      <c r="B10" s="9"/>
      <c r="C10" s="4"/>
      <c r="D10" s="4"/>
      <c r="E10" s="4"/>
      <c r="F10" s="4"/>
      <c r="G10" s="4"/>
      <c r="H10" s="4"/>
      <c r="I10" s="4"/>
    </row>
    <row r="11" spans="1:9" hidden="1">
      <c r="A11" s="4"/>
      <c r="B11" s="9"/>
      <c r="C11" s="4"/>
      <c r="D11" s="4"/>
      <c r="E11" s="4"/>
      <c r="F11" s="4"/>
      <c r="G11" s="4"/>
      <c r="H11" s="4"/>
      <c r="I11" s="4"/>
    </row>
    <row r="12" spans="1:9" hidden="1">
      <c r="A12" s="4"/>
      <c r="B12" s="9"/>
      <c r="C12" s="4"/>
      <c r="D12" s="4"/>
      <c r="E12" s="98"/>
      <c r="F12" s="4"/>
      <c r="G12" s="4"/>
      <c r="H12" s="4"/>
      <c r="I12" s="4"/>
    </row>
    <row r="13" spans="1:9" hidden="1">
      <c r="A13" s="4"/>
      <c r="B13" s="9"/>
      <c r="C13" s="4"/>
      <c r="D13" s="4"/>
      <c r="E13" s="4"/>
      <c r="F13" s="4"/>
      <c r="G13" s="4"/>
      <c r="H13" s="4"/>
      <c r="I13" s="4"/>
    </row>
    <row r="14" spans="1:9" hidden="1">
      <c r="A14" s="4"/>
      <c r="B14" s="9"/>
      <c r="C14" s="4"/>
      <c r="D14" s="4"/>
      <c r="E14" s="4"/>
      <c r="F14" s="4"/>
      <c r="G14" s="4"/>
      <c r="H14" s="4"/>
      <c r="I14" s="4"/>
    </row>
    <row r="15" spans="1:9" hidden="1">
      <c r="A15" s="4"/>
      <c r="B15" s="9"/>
      <c r="C15" s="4"/>
      <c r="D15" s="4"/>
      <c r="E15" s="4"/>
      <c r="F15" s="4"/>
      <c r="G15" s="4"/>
      <c r="H15" s="4"/>
      <c r="I15" s="4"/>
    </row>
    <row r="16" spans="1:9" hidden="1">
      <c r="A16" s="100" t="s">
        <v>96</v>
      </c>
      <c r="B16" s="29">
        <f>SUM(B6:B15)</f>
        <v>0</v>
      </c>
      <c r="C16" s="99"/>
      <c r="D16" s="99"/>
      <c r="E16" s="99"/>
      <c r="F16" s="99"/>
      <c r="G16" s="99"/>
      <c r="H16" s="99"/>
      <c r="I16" s="99"/>
    </row>
    <row r="17" spans="1:9" hidden="1"/>
    <row r="18" spans="1:9" hidden="1"/>
    <row r="19" spans="1:9" hidden="1">
      <c r="A19" s="97" t="s">
        <v>18</v>
      </c>
      <c r="B19" s="88"/>
      <c r="C19" s="11"/>
      <c r="D19" s="11"/>
      <c r="E19" s="10"/>
      <c r="G19" s="57" t="s">
        <v>247</v>
      </c>
      <c r="H19" s="11"/>
      <c r="I19" s="11"/>
    </row>
    <row r="20" spans="1:9" ht="38.25" hidden="1">
      <c r="A20" s="106" t="s">
        <v>0</v>
      </c>
      <c r="B20" s="107" t="s">
        <v>195</v>
      </c>
      <c r="C20" s="106" t="s">
        <v>356</v>
      </c>
      <c r="D20" s="106" t="s">
        <v>357</v>
      </c>
      <c r="E20" s="106" t="s">
        <v>358</v>
      </c>
      <c r="F20" s="106" t="s">
        <v>359</v>
      </c>
      <c r="G20" s="106" t="s">
        <v>360</v>
      </c>
      <c r="H20" s="105" t="s">
        <v>361</v>
      </c>
      <c r="I20" s="106" t="s">
        <v>101</v>
      </c>
    </row>
    <row r="21" spans="1:9" hidden="1">
      <c r="A21" s="4"/>
      <c r="B21" s="9"/>
      <c r="C21" s="4"/>
      <c r="D21" s="4"/>
      <c r="E21" s="4"/>
      <c r="F21" s="4"/>
      <c r="G21" s="4"/>
      <c r="H21" s="4"/>
      <c r="I21" s="4"/>
    </row>
    <row r="22" spans="1:9" hidden="1">
      <c r="A22" s="4"/>
      <c r="B22" s="9"/>
      <c r="C22" s="4"/>
      <c r="D22" s="4"/>
      <c r="E22" s="4"/>
      <c r="F22" s="4"/>
      <c r="G22" s="4"/>
      <c r="H22" s="4"/>
      <c r="I22" s="4"/>
    </row>
    <row r="23" spans="1:9" hidden="1">
      <c r="A23" s="4"/>
      <c r="B23" s="9"/>
      <c r="C23" s="4"/>
      <c r="D23" s="4"/>
      <c r="E23" s="4"/>
      <c r="F23" s="4"/>
      <c r="G23" s="4"/>
      <c r="H23" s="4"/>
      <c r="I23" s="4"/>
    </row>
    <row r="24" spans="1:9" hidden="1">
      <c r="A24" s="4"/>
      <c r="B24" s="9"/>
      <c r="C24" s="4"/>
      <c r="D24" s="4"/>
      <c r="E24" s="4"/>
      <c r="F24" s="4"/>
      <c r="G24" s="4"/>
      <c r="H24" s="4"/>
      <c r="I24" s="4"/>
    </row>
    <row r="25" spans="1:9" hidden="1">
      <c r="A25" s="4"/>
      <c r="B25" s="9"/>
      <c r="C25" s="4"/>
      <c r="D25" s="4"/>
      <c r="E25" s="4"/>
      <c r="F25" s="4"/>
      <c r="G25" s="4"/>
      <c r="H25" s="4"/>
      <c r="I25" s="4"/>
    </row>
    <row r="26" spans="1:9" hidden="1">
      <c r="A26" s="4"/>
      <c r="B26" s="9"/>
      <c r="C26" s="4"/>
      <c r="D26" s="4"/>
      <c r="E26" s="4"/>
      <c r="F26" s="4"/>
      <c r="G26" s="4"/>
      <c r="H26" s="4"/>
      <c r="I26" s="4"/>
    </row>
    <row r="27" spans="1:9" hidden="1">
      <c r="A27" s="4"/>
      <c r="B27" s="9"/>
      <c r="C27" s="4"/>
      <c r="D27" s="4"/>
      <c r="E27" s="98"/>
      <c r="F27" s="4"/>
      <c r="G27" s="4"/>
      <c r="H27" s="4"/>
      <c r="I27" s="4"/>
    </row>
    <row r="28" spans="1:9" hidden="1">
      <c r="A28" s="4"/>
      <c r="B28" s="9"/>
      <c r="C28" s="4"/>
      <c r="D28" s="4"/>
      <c r="E28" s="4"/>
      <c r="F28" s="4"/>
      <c r="G28" s="4"/>
      <c r="H28" s="4"/>
      <c r="I28" s="4"/>
    </row>
    <row r="29" spans="1:9" hidden="1">
      <c r="A29" s="4"/>
      <c r="B29" s="9"/>
      <c r="C29" s="4"/>
      <c r="D29" s="4"/>
      <c r="E29" s="4"/>
      <c r="F29" s="4"/>
      <c r="G29" s="4"/>
      <c r="H29" s="4"/>
      <c r="I29" s="4"/>
    </row>
    <row r="30" spans="1:9" hidden="1">
      <c r="A30" s="4"/>
      <c r="B30" s="9"/>
      <c r="C30" s="4"/>
      <c r="D30" s="4"/>
      <c r="E30" s="4"/>
      <c r="F30" s="4"/>
      <c r="G30" s="4"/>
      <c r="H30" s="4"/>
      <c r="I30" s="4"/>
    </row>
    <row r="31" spans="1:9" hidden="1">
      <c r="A31" s="100" t="s">
        <v>96</v>
      </c>
      <c r="B31" s="29">
        <f>SUM(B21:B30)</f>
        <v>0</v>
      </c>
      <c r="C31" s="99"/>
      <c r="D31" s="99"/>
      <c r="E31" s="99"/>
      <c r="F31" s="99"/>
      <c r="G31" s="99"/>
      <c r="H31" s="99"/>
      <c r="I31" s="99"/>
    </row>
    <row r="32" spans="1:9" hidden="1"/>
    <row r="33" spans="1:9" hidden="1"/>
    <row r="34" spans="1:9" hidden="1">
      <c r="A34" s="97" t="s">
        <v>19</v>
      </c>
      <c r="B34" s="88"/>
      <c r="C34" s="11"/>
      <c r="D34" s="11"/>
      <c r="E34" s="10"/>
      <c r="G34" s="57" t="s">
        <v>247</v>
      </c>
      <c r="H34" s="11"/>
      <c r="I34" s="11"/>
    </row>
    <row r="35" spans="1:9" ht="38.25" hidden="1">
      <c r="A35" s="106" t="s">
        <v>0</v>
      </c>
      <c r="B35" s="107" t="s">
        <v>195</v>
      </c>
      <c r="C35" s="106" t="s">
        <v>356</v>
      </c>
      <c r="D35" s="106" t="s">
        <v>357</v>
      </c>
      <c r="E35" s="106" t="s">
        <v>358</v>
      </c>
      <c r="F35" s="106" t="s">
        <v>359</v>
      </c>
      <c r="G35" s="106" t="s">
        <v>360</v>
      </c>
      <c r="H35" s="105" t="s">
        <v>361</v>
      </c>
      <c r="I35" s="106" t="s">
        <v>101</v>
      </c>
    </row>
    <row r="36" spans="1:9" hidden="1">
      <c r="A36" s="4"/>
      <c r="B36" s="9"/>
      <c r="C36" s="4"/>
      <c r="D36" s="4"/>
      <c r="E36" s="4"/>
      <c r="F36" s="4"/>
      <c r="G36" s="4"/>
      <c r="H36" s="4"/>
      <c r="I36" s="4"/>
    </row>
    <row r="37" spans="1:9" hidden="1">
      <c r="A37" s="4"/>
      <c r="B37" s="9"/>
      <c r="C37" s="4"/>
      <c r="D37" s="4"/>
      <c r="E37" s="4"/>
      <c r="F37" s="4"/>
      <c r="G37" s="4"/>
      <c r="H37" s="4"/>
      <c r="I37" s="4"/>
    </row>
    <row r="38" spans="1:9" hidden="1">
      <c r="A38" s="4"/>
      <c r="B38" s="9"/>
      <c r="C38" s="4"/>
      <c r="D38" s="4"/>
      <c r="E38" s="4"/>
      <c r="F38" s="4"/>
      <c r="G38" s="4"/>
      <c r="H38" s="4"/>
      <c r="I38" s="4"/>
    </row>
    <row r="39" spans="1:9" hidden="1">
      <c r="A39" s="4"/>
      <c r="B39" s="9"/>
      <c r="C39" s="4"/>
      <c r="D39" s="4"/>
      <c r="E39" s="4"/>
      <c r="F39" s="4"/>
      <c r="G39" s="4"/>
      <c r="H39" s="4"/>
      <c r="I39" s="4"/>
    </row>
    <row r="40" spans="1:9" hidden="1">
      <c r="A40" s="4"/>
      <c r="B40" s="9"/>
      <c r="C40" s="4"/>
      <c r="D40" s="4"/>
      <c r="E40" s="4"/>
      <c r="F40" s="4"/>
      <c r="G40" s="4"/>
      <c r="H40" s="4"/>
      <c r="I40" s="4"/>
    </row>
    <row r="41" spans="1:9" hidden="1">
      <c r="A41" s="4"/>
      <c r="B41" s="9"/>
      <c r="C41" s="4"/>
      <c r="D41" s="4"/>
      <c r="E41" s="4"/>
      <c r="F41" s="4"/>
      <c r="G41" s="4"/>
      <c r="H41" s="4"/>
      <c r="I41" s="4"/>
    </row>
    <row r="42" spans="1:9" hidden="1">
      <c r="A42" s="4"/>
      <c r="B42" s="9"/>
      <c r="C42" s="4"/>
      <c r="D42" s="4"/>
      <c r="E42" s="98"/>
      <c r="F42" s="4"/>
      <c r="G42" s="4"/>
      <c r="H42" s="4"/>
      <c r="I42" s="4"/>
    </row>
    <row r="43" spans="1:9" hidden="1">
      <c r="A43" s="4"/>
      <c r="B43" s="9"/>
      <c r="C43" s="4"/>
      <c r="D43" s="4"/>
      <c r="E43" s="4"/>
      <c r="F43" s="4"/>
      <c r="G43" s="4"/>
      <c r="H43" s="4"/>
      <c r="I43" s="4"/>
    </row>
    <row r="44" spans="1:9" hidden="1">
      <c r="A44" s="4"/>
      <c r="B44" s="9"/>
      <c r="C44" s="4"/>
      <c r="D44" s="4"/>
      <c r="E44" s="4"/>
      <c r="F44" s="4"/>
      <c r="G44" s="4"/>
      <c r="H44" s="4"/>
      <c r="I44" s="4"/>
    </row>
    <row r="45" spans="1:9" hidden="1">
      <c r="A45" s="4"/>
      <c r="B45" s="9"/>
      <c r="C45" s="4"/>
      <c r="D45" s="4"/>
      <c r="E45" s="4"/>
      <c r="F45" s="4"/>
      <c r="G45" s="4"/>
      <c r="H45" s="4"/>
      <c r="I45" s="4"/>
    </row>
    <row r="46" spans="1:9" hidden="1">
      <c r="A46" s="100" t="s">
        <v>96</v>
      </c>
      <c r="B46" s="29">
        <f>SUM(B36:B45)</f>
        <v>0</v>
      </c>
      <c r="C46" s="99"/>
      <c r="D46" s="99"/>
      <c r="E46" s="99"/>
      <c r="F46" s="99"/>
      <c r="G46" s="99"/>
      <c r="H46" s="99"/>
      <c r="I46" s="99"/>
    </row>
    <row r="47" spans="1:9" hidden="1"/>
    <row r="48" spans="1:9" hidden="1"/>
    <row r="49" spans="1:9" hidden="1">
      <c r="A49" s="97" t="s">
        <v>20</v>
      </c>
      <c r="B49" s="88"/>
      <c r="C49" s="11"/>
      <c r="D49" s="11"/>
      <c r="E49" s="10"/>
      <c r="G49" s="57" t="s">
        <v>247</v>
      </c>
      <c r="H49" s="11"/>
      <c r="I49" s="11"/>
    </row>
    <row r="50" spans="1:9" ht="38.25" hidden="1">
      <c r="A50" s="106" t="s">
        <v>0</v>
      </c>
      <c r="B50" s="107" t="s">
        <v>195</v>
      </c>
      <c r="C50" s="106" t="s">
        <v>356</v>
      </c>
      <c r="D50" s="106" t="s">
        <v>357</v>
      </c>
      <c r="E50" s="106" t="s">
        <v>358</v>
      </c>
      <c r="F50" s="106" t="s">
        <v>359</v>
      </c>
      <c r="G50" s="106" t="s">
        <v>360</v>
      </c>
      <c r="H50" s="105" t="s">
        <v>361</v>
      </c>
      <c r="I50" s="106" t="s">
        <v>101</v>
      </c>
    </row>
    <row r="51" spans="1:9" hidden="1">
      <c r="A51" s="4"/>
      <c r="B51" s="9"/>
      <c r="C51" s="4"/>
      <c r="D51" s="4"/>
      <c r="E51" s="4"/>
      <c r="F51" s="4"/>
      <c r="G51" s="4"/>
      <c r="H51" s="4"/>
      <c r="I51" s="4"/>
    </row>
    <row r="52" spans="1:9" hidden="1">
      <c r="A52" s="4"/>
      <c r="B52" s="9"/>
      <c r="C52" s="4"/>
      <c r="D52" s="4"/>
      <c r="E52" s="4"/>
      <c r="F52" s="4"/>
      <c r="G52" s="4"/>
      <c r="H52" s="4"/>
      <c r="I52" s="4"/>
    </row>
    <row r="53" spans="1:9" hidden="1">
      <c r="A53" s="4"/>
      <c r="B53" s="9"/>
      <c r="C53" s="4"/>
      <c r="D53" s="4"/>
      <c r="E53" s="4"/>
      <c r="F53" s="4"/>
      <c r="G53" s="4"/>
      <c r="H53" s="4"/>
      <c r="I53" s="4"/>
    </row>
    <row r="54" spans="1:9" hidden="1">
      <c r="A54" s="4"/>
      <c r="B54" s="9"/>
      <c r="C54" s="4"/>
      <c r="D54" s="4"/>
      <c r="E54" s="4"/>
      <c r="F54" s="4"/>
      <c r="G54" s="4"/>
      <c r="H54" s="4"/>
      <c r="I54" s="4"/>
    </row>
    <row r="55" spans="1:9" hidden="1">
      <c r="A55" s="4"/>
      <c r="B55" s="9"/>
      <c r="C55" s="4"/>
      <c r="D55" s="4"/>
      <c r="E55" s="4"/>
      <c r="F55" s="4"/>
      <c r="G55" s="4"/>
      <c r="H55" s="4"/>
      <c r="I55" s="4"/>
    </row>
    <row r="56" spans="1:9" hidden="1">
      <c r="A56" s="4"/>
      <c r="B56" s="9"/>
      <c r="C56" s="4"/>
      <c r="D56" s="4"/>
      <c r="E56" s="4"/>
      <c r="F56" s="4"/>
      <c r="G56" s="4"/>
      <c r="H56" s="4"/>
      <c r="I56" s="4"/>
    </row>
    <row r="57" spans="1:9" hidden="1">
      <c r="A57" s="4"/>
      <c r="B57" s="9"/>
      <c r="C57" s="4"/>
      <c r="D57" s="4"/>
      <c r="E57" s="98"/>
      <c r="F57" s="4"/>
      <c r="G57" s="4"/>
      <c r="H57" s="4"/>
      <c r="I57" s="4"/>
    </row>
    <row r="58" spans="1:9" hidden="1">
      <c r="A58" s="4"/>
      <c r="B58" s="9"/>
      <c r="C58" s="4"/>
      <c r="D58" s="4"/>
      <c r="E58" s="4"/>
      <c r="F58" s="4"/>
      <c r="G58" s="4"/>
      <c r="H58" s="4"/>
      <c r="I58" s="4"/>
    </row>
    <row r="59" spans="1:9" hidden="1">
      <c r="A59" s="4"/>
      <c r="B59" s="9"/>
      <c r="C59" s="4"/>
      <c r="D59" s="4"/>
      <c r="E59" s="4"/>
      <c r="F59" s="4"/>
      <c r="G59" s="4"/>
      <c r="H59" s="4"/>
      <c r="I59" s="4"/>
    </row>
    <row r="60" spans="1:9" hidden="1">
      <c r="A60" s="4"/>
      <c r="B60" s="9"/>
      <c r="C60" s="4"/>
      <c r="D60" s="4"/>
      <c r="E60" s="4"/>
      <c r="F60" s="4"/>
      <c r="G60" s="4"/>
      <c r="H60" s="4"/>
      <c r="I60" s="4"/>
    </row>
    <row r="61" spans="1:9" hidden="1">
      <c r="A61" s="100" t="s">
        <v>96</v>
      </c>
      <c r="B61" s="29">
        <f>SUM(B51:B60)</f>
        <v>0</v>
      </c>
      <c r="C61" s="99"/>
      <c r="D61" s="99"/>
      <c r="E61" s="99"/>
      <c r="F61" s="99"/>
      <c r="G61" s="99"/>
      <c r="H61" s="99"/>
      <c r="I61" s="99"/>
    </row>
    <row r="62" spans="1:9" hidden="1"/>
    <row r="63" spans="1:9" hidden="1"/>
    <row r="64" spans="1:9" hidden="1">
      <c r="A64" s="97" t="s">
        <v>21</v>
      </c>
      <c r="B64" s="88"/>
      <c r="C64" s="11"/>
      <c r="D64" s="11"/>
      <c r="E64" s="10"/>
      <c r="G64" s="57" t="s">
        <v>247</v>
      </c>
      <c r="H64" s="11"/>
      <c r="I64" s="11"/>
    </row>
    <row r="65" spans="1:9" ht="38.25" hidden="1">
      <c r="A65" s="106" t="s">
        <v>0</v>
      </c>
      <c r="B65" s="107" t="s">
        <v>195</v>
      </c>
      <c r="C65" s="106" t="s">
        <v>356</v>
      </c>
      <c r="D65" s="106" t="s">
        <v>357</v>
      </c>
      <c r="E65" s="106" t="s">
        <v>358</v>
      </c>
      <c r="F65" s="106" t="s">
        <v>359</v>
      </c>
      <c r="G65" s="106" t="s">
        <v>360</v>
      </c>
      <c r="H65" s="105" t="s">
        <v>361</v>
      </c>
      <c r="I65" s="106" t="s">
        <v>101</v>
      </c>
    </row>
    <row r="66" spans="1:9" hidden="1">
      <c r="A66" s="4"/>
      <c r="B66" s="9"/>
      <c r="C66" s="4"/>
      <c r="D66" s="4"/>
      <c r="E66" s="4"/>
      <c r="F66" s="4"/>
      <c r="G66" s="4"/>
      <c r="H66" s="4"/>
      <c r="I66" s="4"/>
    </row>
    <row r="67" spans="1:9" hidden="1">
      <c r="A67" s="4"/>
      <c r="B67" s="9"/>
      <c r="C67" s="4"/>
      <c r="D67" s="4"/>
      <c r="E67" s="4"/>
      <c r="F67" s="4"/>
      <c r="G67" s="4"/>
      <c r="H67" s="4"/>
      <c r="I67" s="4"/>
    </row>
    <row r="68" spans="1:9" hidden="1">
      <c r="A68" s="4"/>
      <c r="B68" s="9"/>
      <c r="C68" s="4"/>
      <c r="D68" s="4"/>
      <c r="E68" s="4"/>
      <c r="F68" s="4"/>
      <c r="G68" s="4"/>
      <c r="H68" s="4"/>
      <c r="I68" s="4"/>
    </row>
    <row r="69" spans="1:9" hidden="1">
      <c r="A69" s="4"/>
      <c r="B69" s="9"/>
      <c r="C69" s="4"/>
      <c r="D69" s="4"/>
      <c r="E69" s="4"/>
      <c r="F69" s="4"/>
      <c r="G69" s="4"/>
      <c r="H69" s="4"/>
      <c r="I69" s="4"/>
    </row>
    <row r="70" spans="1:9" hidden="1">
      <c r="A70" s="4"/>
      <c r="B70" s="9"/>
      <c r="C70" s="4"/>
      <c r="D70" s="4"/>
      <c r="E70" s="4"/>
      <c r="F70" s="4"/>
      <c r="G70" s="4"/>
      <c r="H70" s="4"/>
      <c r="I70" s="4"/>
    </row>
    <row r="71" spans="1:9" hidden="1">
      <c r="A71" s="4"/>
      <c r="B71" s="9"/>
      <c r="C71" s="4"/>
      <c r="D71" s="4"/>
      <c r="E71" s="4"/>
      <c r="F71" s="4"/>
      <c r="G71" s="4"/>
      <c r="H71" s="4"/>
      <c r="I71" s="4"/>
    </row>
    <row r="72" spans="1:9" hidden="1">
      <c r="A72" s="4"/>
      <c r="B72" s="9"/>
      <c r="C72" s="4"/>
      <c r="D72" s="4"/>
      <c r="E72" s="98"/>
      <c r="F72" s="4"/>
      <c r="G72" s="4"/>
      <c r="H72" s="4"/>
      <c r="I72" s="4"/>
    </row>
    <row r="73" spans="1:9" hidden="1">
      <c r="A73" s="4"/>
      <c r="B73" s="9"/>
      <c r="C73" s="4"/>
      <c r="D73" s="4"/>
      <c r="E73" s="4"/>
      <c r="F73" s="4"/>
      <c r="G73" s="4"/>
      <c r="H73" s="4"/>
      <c r="I73" s="4"/>
    </row>
    <row r="74" spans="1:9" hidden="1">
      <c r="A74" s="4"/>
      <c r="B74" s="9"/>
      <c r="C74" s="4"/>
      <c r="D74" s="4"/>
      <c r="E74" s="4"/>
      <c r="F74" s="4"/>
      <c r="G74" s="4"/>
      <c r="H74" s="4"/>
      <c r="I74" s="4"/>
    </row>
    <row r="75" spans="1:9" hidden="1">
      <c r="A75" s="4"/>
      <c r="B75" s="9"/>
      <c r="C75" s="4"/>
      <c r="D75" s="4"/>
      <c r="E75" s="4"/>
      <c r="F75" s="4"/>
      <c r="G75" s="4"/>
      <c r="H75" s="4"/>
      <c r="I75" s="4"/>
    </row>
    <row r="76" spans="1:9" hidden="1">
      <c r="A76" s="100" t="s">
        <v>96</v>
      </c>
      <c r="B76" s="29">
        <f>SUM(B66:B75)</f>
        <v>0</v>
      </c>
      <c r="C76" s="99"/>
      <c r="D76" s="99"/>
      <c r="E76" s="99"/>
      <c r="F76" s="99"/>
      <c r="G76" s="99"/>
      <c r="H76" s="99"/>
      <c r="I76" s="99"/>
    </row>
    <row r="77" spans="1:9" hidden="1"/>
    <row r="78" spans="1:9" hidden="1"/>
    <row r="79" spans="1:9" hidden="1">
      <c r="A79" s="97" t="s">
        <v>22</v>
      </c>
      <c r="B79" s="88"/>
      <c r="C79" s="11"/>
      <c r="D79" s="11"/>
      <c r="E79" s="10"/>
      <c r="G79" s="57" t="s">
        <v>247</v>
      </c>
      <c r="H79" s="11"/>
      <c r="I79" s="11"/>
    </row>
    <row r="80" spans="1:9" ht="38.25" hidden="1">
      <c r="A80" s="106" t="s">
        <v>0</v>
      </c>
      <c r="B80" s="107" t="s">
        <v>195</v>
      </c>
      <c r="C80" s="106" t="s">
        <v>356</v>
      </c>
      <c r="D80" s="106" t="s">
        <v>357</v>
      </c>
      <c r="E80" s="106" t="s">
        <v>358</v>
      </c>
      <c r="F80" s="106" t="s">
        <v>359</v>
      </c>
      <c r="G80" s="106" t="s">
        <v>360</v>
      </c>
      <c r="H80" s="105" t="s">
        <v>361</v>
      </c>
      <c r="I80" s="106" t="s">
        <v>101</v>
      </c>
    </row>
    <row r="81" spans="1:9" hidden="1">
      <c r="A81" s="4"/>
      <c r="B81" s="9"/>
      <c r="C81" s="4"/>
      <c r="D81" s="4"/>
      <c r="E81" s="4"/>
      <c r="F81" s="4"/>
      <c r="G81" s="4"/>
      <c r="H81" s="4"/>
      <c r="I81" s="4"/>
    </row>
    <row r="82" spans="1:9" hidden="1">
      <c r="A82" s="4"/>
      <c r="B82" s="9"/>
      <c r="C82" s="4"/>
      <c r="D82" s="4"/>
      <c r="E82" s="4"/>
      <c r="F82" s="4"/>
      <c r="G82" s="4"/>
      <c r="H82" s="4"/>
      <c r="I82" s="4"/>
    </row>
    <row r="83" spans="1:9" hidden="1">
      <c r="A83" s="4"/>
      <c r="B83" s="9"/>
      <c r="C83" s="4"/>
      <c r="D83" s="4"/>
      <c r="E83" s="4"/>
      <c r="F83" s="4"/>
      <c r="G83" s="4"/>
      <c r="H83" s="4"/>
      <c r="I83" s="4"/>
    </row>
    <row r="84" spans="1:9" hidden="1">
      <c r="A84" s="4"/>
      <c r="B84" s="9"/>
      <c r="C84" s="4"/>
      <c r="D84" s="4"/>
      <c r="E84" s="4"/>
      <c r="F84" s="4"/>
      <c r="G84" s="4"/>
      <c r="H84" s="4"/>
      <c r="I84" s="4"/>
    </row>
    <row r="85" spans="1:9" hidden="1">
      <c r="A85" s="4"/>
      <c r="B85" s="9"/>
      <c r="C85" s="4"/>
      <c r="D85" s="4"/>
      <c r="E85" s="4"/>
      <c r="F85" s="4"/>
      <c r="G85" s="4"/>
      <c r="H85" s="4"/>
      <c r="I85" s="4"/>
    </row>
    <row r="86" spans="1:9" hidden="1">
      <c r="A86" s="4"/>
      <c r="B86" s="9"/>
      <c r="C86" s="4"/>
      <c r="D86" s="4"/>
      <c r="E86" s="4"/>
      <c r="F86" s="4"/>
      <c r="G86" s="4"/>
      <c r="H86" s="4"/>
      <c r="I86" s="4"/>
    </row>
    <row r="87" spans="1:9" hidden="1">
      <c r="A87" s="4"/>
      <c r="B87" s="9"/>
      <c r="C87" s="4"/>
      <c r="D87" s="4"/>
      <c r="E87" s="98"/>
      <c r="F87" s="4"/>
      <c r="G87" s="4"/>
      <c r="H87" s="4"/>
      <c r="I87" s="4"/>
    </row>
    <row r="88" spans="1:9" hidden="1">
      <c r="A88" s="4"/>
      <c r="B88" s="9"/>
      <c r="C88" s="4"/>
      <c r="D88" s="4"/>
      <c r="E88" s="4"/>
      <c r="F88" s="4"/>
      <c r="G88" s="4"/>
      <c r="H88" s="4"/>
      <c r="I88" s="4"/>
    </row>
    <row r="89" spans="1:9" hidden="1">
      <c r="A89" s="4"/>
      <c r="B89" s="9"/>
      <c r="C89" s="4"/>
      <c r="D89" s="4"/>
      <c r="E89" s="4"/>
      <c r="F89" s="4"/>
      <c r="G89" s="4"/>
      <c r="H89" s="4"/>
      <c r="I89" s="4"/>
    </row>
    <row r="90" spans="1:9" hidden="1">
      <c r="A90" s="4"/>
      <c r="B90" s="9"/>
      <c r="C90" s="4"/>
      <c r="D90" s="4"/>
      <c r="E90" s="4"/>
      <c r="F90" s="4"/>
      <c r="G90" s="4"/>
      <c r="H90" s="4"/>
      <c r="I90" s="4"/>
    </row>
    <row r="91" spans="1:9" hidden="1">
      <c r="A91" s="100" t="s">
        <v>96</v>
      </c>
      <c r="B91" s="29">
        <f>SUM(B81:B90)</f>
        <v>0</v>
      </c>
      <c r="C91" s="99"/>
      <c r="D91" s="99"/>
      <c r="E91" s="99"/>
      <c r="F91" s="99"/>
      <c r="G91" s="99"/>
      <c r="H91" s="99"/>
      <c r="I91" s="99"/>
    </row>
    <row r="92" spans="1:9" hidden="1"/>
    <row r="93" spans="1:9">
      <c r="A93" s="10" t="s">
        <v>355</v>
      </c>
      <c r="B93" s="6"/>
    </row>
    <row r="94" spans="1:9">
      <c r="A94" s="26" t="s">
        <v>104</v>
      </c>
      <c r="B94" s="6"/>
    </row>
    <row r="95" spans="1:9">
      <c r="A95" s="26"/>
      <c r="B95" s="6"/>
    </row>
    <row r="96" spans="1:9">
      <c r="A96" s="97" t="s">
        <v>507</v>
      </c>
      <c r="B96" s="264"/>
      <c r="C96" s="166"/>
      <c r="D96" s="166"/>
      <c r="E96" s="10"/>
      <c r="G96" s="57" t="s">
        <v>247</v>
      </c>
      <c r="H96" s="166"/>
      <c r="I96" s="166"/>
    </row>
    <row r="97" spans="1:9" ht="38.25">
      <c r="A97" s="263" t="s">
        <v>0</v>
      </c>
      <c r="B97" s="262" t="s">
        <v>195</v>
      </c>
      <c r="C97" s="263" t="s">
        <v>356</v>
      </c>
      <c r="D97" s="263" t="s">
        <v>357</v>
      </c>
      <c r="E97" s="263" t="s">
        <v>358</v>
      </c>
      <c r="F97" s="263" t="s">
        <v>359</v>
      </c>
      <c r="G97" s="263" t="s">
        <v>360</v>
      </c>
      <c r="H97" s="105" t="s">
        <v>361</v>
      </c>
      <c r="I97" s="263" t="s">
        <v>101</v>
      </c>
    </row>
    <row r="98" spans="1:9" ht="25.5">
      <c r="A98" s="265" t="s">
        <v>508</v>
      </c>
      <c r="B98" s="266">
        <v>7.02</v>
      </c>
      <c r="C98" s="267" t="s">
        <v>495</v>
      </c>
      <c r="D98" s="267" t="s">
        <v>494</v>
      </c>
      <c r="E98" s="268" t="s">
        <v>281</v>
      </c>
      <c r="F98" s="269">
        <v>0.11</v>
      </c>
      <c r="G98" s="267" t="s">
        <v>477</v>
      </c>
      <c r="H98" s="267" t="s">
        <v>484</v>
      </c>
      <c r="I98" s="4"/>
    </row>
    <row r="99" spans="1:9">
      <c r="A99" s="270" t="s">
        <v>509</v>
      </c>
      <c r="B99" s="9">
        <v>1778.26</v>
      </c>
      <c r="C99" s="267" t="s">
        <v>495</v>
      </c>
      <c r="D99" s="267" t="s">
        <v>494</v>
      </c>
      <c r="E99" s="268" t="s">
        <v>281</v>
      </c>
      <c r="F99" s="269">
        <v>0.11</v>
      </c>
      <c r="G99" s="267" t="s">
        <v>477</v>
      </c>
      <c r="H99" s="267" t="s">
        <v>484</v>
      </c>
      <c r="I99" s="4"/>
    </row>
    <row r="100" spans="1:9" ht="25.5">
      <c r="A100" s="270" t="s">
        <v>510</v>
      </c>
      <c r="B100" s="9">
        <v>120.92</v>
      </c>
      <c r="C100" s="267" t="s">
        <v>495</v>
      </c>
      <c r="D100" s="267" t="s">
        <v>494</v>
      </c>
      <c r="E100" s="268" t="s">
        <v>281</v>
      </c>
      <c r="F100" s="269">
        <v>0.11</v>
      </c>
      <c r="G100" s="267" t="s">
        <v>477</v>
      </c>
      <c r="H100" s="267" t="s">
        <v>484</v>
      </c>
      <c r="I100" s="4"/>
    </row>
    <row r="101" spans="1:9" ht="25.5">
      <c r="A101" s="271" t="s">
        <v>511</v>
      </c>
      <c r="B101" s="9">
        <v>87.24</v>
      </c>
      <c r="C101" s="267" t="s">
        <v>495</v>
      </c>
      <c r="D101" s="267" t="s">
        <v>494</v>
      </c>
      <c r="E101" s="268" t="s">
        <v>281</v>
      </c>
      <c r="F101" s="269">
        <v>0.11</v>
      </c>
      <c r="G101" s="267" t="s">
        <v>477</v>
      </c>
      <c r="H101" s="267" t="s">
        <v>484</v>
      </c>
      <c r="I101" s="4"/>
    </row>
    <row r="102" spans="1:9" ht="38.25">
      <c r="A102" s="265" t="s">
        <v>512</v>
      </c>
      <c r="B102" s="266">
        <v>357.58</v>
      </c>
      <c r="C102" s="267" t="s">
        <v>495</v>
      </c>
      <c r="D102" s="267" t="s">
        <v>494</v>
      </c>
      <c r="E102" s="268" t="s">
        <v>280</v>
      </c>
      <c r="F102" s="269">
        <v>0.11</v>
      </c>
      <c r="G102" s="267" t="s">
        <v>477</v>
      </c>
      <c r="H102" s="267" t="s">
        <v>483</v>
      </c>
      <c r="I102" s="4"/>
    </row>
    <row r="103" spans="1:9" ht="38.25">
      <c r="A103" s="265" t="s">
        <v>512</v>
      </c>
      <c r="B103" s="266">
        <v>190.27</v>
      </c>
      <c r="C103" s="267" t="s">
        <v>495</v>
      </c>
      <c r="D103" s="267" t="s">
        <v>494</v>
      </c>
      <c r="E103" s="268" t="s">
        <v>280</v>
      </c>
      <c r="F103" s="269">
        <v>0.11</v>
      </c>
      <c r="G103" s="267" t="s">
        <v>477</v>
      </c>
      <c r="H103" s="267" t="s">
        <v>483</v>
      </c>
      <c r="I103" s="4"/>
    </row>
    <row r="104" spans="1:9">
      <c r="A104" s="271" t="s">
        <v>513</v>
      </c>
      <c r="B104" s="9">
        <v>416.86</v>
      </c>
      <c r="C104" s="267" t="s">
        <v>495</v>
      </c>
      <c r="D104" s="267" t="s">
        <v>494</v>
      </c>
      <c r="E104" s="58" t="s">
        <v>281</v>
      </c>
      <c r="F104" s="269">
        <v>0.11</v>
      </c>
      <c r="G104" s="267" t="s">
        <v>477</v>
      </c>
      <c r="H104" s="267" t="s">
        <v>484</v>
      </c>
      <c r="I104" s="4"/>
    </row>
    <row r="105" spans="1:9">
      <c r="A105" s="100" t="s">
        <v>96</v>
      </c>
      <c r="B105" s="29">
        <f>SUM(B98:B104)</f>
        <v>2958.15</v>
      </c>
      <c r="C105" s="99"/>
      <c r="D105" s="99"/>
      <c r="E105" s="99"/>
      <c r="F105" s="99"/>
      <c r="G105" s="99"/>
      <c r="H105" s="99"/>
      <c r="I105" s="99"/>
    </row>
    <row r="107" spans="1:9">
      <c r="A107" s="97" t="s">
        <v>433</v>
      </c>
      <c r="B107" s="88"/>
      <c r="C107" s="11"/>
      <c r="D107" s="11"/>
      <c r="E107" s="10"/>
      <c r="G107" s="57" t="s">
        <v>247</v>
      </c>
      <c r="H107" s="11"/>
      <c r="I107" s="11"/>
    </row>
    <row r="108" spans="1:9" ht="38.25">
      <c r="A108" s="106" t="s">
        <v>0</v>
      </c>
      <c r="B108" s="107" t="s">
        <v>195</v>
      </c>
      <c r="C108" s="106" t="s">
        <v>356</v>
      </c>
      <c r="D108" s="106" t="s">
        <v>357</v>
      </c>
      <c r="E108" s="106" t="s">
        <v>358</v>
      </c>
      <c r="F108" s="106" t="s">
        <v>359</v>
      </c>
      <c r="G108" s="106" t="s">
        <v>360</v>
      </c>
      <c r="H108" s="105" t="s">
        <v>361</v>
      </c>
      <c r="I108" s="106" t="s">
        <v>101</v>
      </c>
    </row>
    <row r="109" spans="1:9">
      <c r="A109" s="173" t="s">
        <v>496</v>
      </c>
      <c r="B109" s="9">
        <v>13.29</v>
      </c>
      <c r="C109" s="232" t="s">
        <v>495</v>
      </c>
      <c r="D109" s="232" t="s">
        <v>494</v>
      </c>
      <c r="E109" s="58" t="s">
        <v>280</v>
      </c>
      <c r="F109" s="236">
        <v>0.1125</v>
      </c>
      <c r="G109" s="232" t="s">
        <v>477</v>
      </c>
      <c r="H109" s="232" t="s">
        <v>483</v>
      </c>
      <c r="I109" s="4"/>
    </row>
    <row r="110" spans="1:9">
      <c r="A110" s="173" t="s">
        <v>491</v>
      </c>
      <c r="B110" s="9">
        <v>4.75</v>
      </c>
      <c r="C110" s="232" t="s">
        <v>495</v>
      </c>
      <c r="D110" s="232" t="s">
        <v>493</v>
      </c>
      <c r="E110" s="58" t="s">
        <v>280</v>
      </c>
      <c r="F110" s="236">
        <v>0.1125</v>
      </c>
      <c r="G110" s="232" t="s">
        <v>477</v>
      </c>
      <c r="H110" s="232" t="s">
        <v>483</v>
      </c>
      <c r="I110" s="4"/>
    </row>
    <row r="111" spans="1:9">
      <c r="A111" s="173" t="s">
        <v>492</v>
      </c>
      <c r="B111" s="9">
        <v>14.72</v>
      </c>
      <c r="C111" s="232" t="s">
        <v>495</v>
      </c>
      <c r="D111" s="232" t="s">
        <v>494</v>
      </c>
      <c r="E111" s="58" t="s">
        <v>281</v>
      </c>
      <c r="F111" s="236">
        <v>0.1125</v>
      </c>
      <c r="G111" s="232" t="s">
        <v>477</v>
      </c>
      <c r="H111" s="232" t="s">
        <v>484</v>
      </c>
      <c r="I111" s="4"/>
    </row>
    <row r="112" spans="1:9">
      <c r="A112" s="200" t="s">
        <v>499</v>
      </c>
      <c r="B112" s="9">
        <v>69.62</v>
      </c>
      <c r="C112" s="232" t="s">
        <v>495</v>
      </c>
      <c r="D112" s="232" t="s">
        <v>493</v>
      </c>
      <c r="E112" s="58" t="s">
        <v>280</v>
      </c>
      <c r="F112" s="236">
        <v>0.1125</v>
      </c>
      <c r="G112" s="232" t="s">
        <v>477</v>
      </c>
      <c r="H112" s="232" t="s">
        <v>483</v>
      </c>
      <c r="I112" s="4"/>
    </row>
    <row r="113" spans="1:9">
      <c r="A113" s="200" t="s">
        <v>500</v>
      </c>
      <c r="B113" s="9">
        <v>69.62</v>
      </c>
      <c r="C113" s="232" t="s">
        <v>495</v>
      </c>
      <c r="D113" s="232" t="s">
        <v>493</v>
      </c>
      <c r="E113" s="58" t="s">
        <v>281</v>
      </c>
      <c r="F113" s="236">
        <v>0.1125</v>
      </c>
      <c r="G113" s="232" t="s">
        <v>477</v>
      </c>
      <c r="H113" s="232" t="s">
        <v>484</v>
      </c>
      <c r="I113" s="4"/>
    </row>
    <row r="114" spans="1:9">
      <c r="A114" s="200" t="s">
        <v>498</v>
      </c>
      <c r="B114" s="9">
        <v>51.51</v>
      </c>
      <c r="C114" s="232" t="s">
        <v>495</v>
      </c>
      <c r="D114" s="232" t="s">
        <v>493</v>
      </c>
      <c r="E114" s="58" t="s">
        <v>280</v>
      </c>
      <c r="F114" s="236">
        <v>0.1125</v>
      </c>
      <c r="G114" s="232" t="s">
        <v>477</v>
      </c>
      <c r="H114" s="232" t="s">
        <v>483</v>
      </c>
      <c r="I114" s="4"/>
    </row>
    <row r="115" spans="1:9">
      <c r="A115" s="200" t="s">
        <v>497</v>
      </c>
      <c r="B115" s="9">
        <v>81.290000000000006</v>
      </c>
      <c r="C115" s="232" t="s">
        <v>495</v>
      </c>
      <c r="D115" s="232" t="s">
        <v>493</v>
      </c>
      <c r="E115" s="235" t="s">
        <v>281</v>
      </c>
      <c r="F115" s="236">
        <v>0.1125</v>
      </c>
      <c r="G115" s="232" t="s">
        <v>477</v>
      </c>
      <c r="H115" s="232" t="s">
        <v>484</v>
      </c>
      <c r="I115" s="4"/>
    </row>
    <row r="116" spans="1:9">
      <c r="A116" s="100" t="s">
        <v>96</v>
      </c>
      <c r="B116" s="29">
        <f>SUM(B109:B115)</f>
        <v>304.8</v>
      </c>
      <c r="C116" s="99"/>
      <c r="D116" s="99"/>
      <c r="E116" s="99"/>
      <c r="F116" s="99"/>
      <c r="G116" s="99"/>
      <c r="H116" s="99"/>
      <c r="I116" s="99"/>
    </row>
    <row r="119" spans="1:9">
      <c r="A119" s="97" t="s">
        <v>434</v>
      </c>
      <c r="B119" s="88"/>
      <c r="C119" s="11"/>
      <c r="D119" s="11"/>
      <c r="E119" s="10"/>
      <c r="G119" s="57" t="s">
        <v>247</v>
      </c>
      <c r="H119" s="11"/>
      <c r="I119" s="11"/>
    </row>
    <row r="120" spans="1:9" ht="38.25">
      <c r="A120" s="106" t="s">
        <v>0</v>
      </c>
      <c r="B120" s="107" t="s">
        <v>195</v>
      </c>
      <c r="C120" s="106" t="s">
        <v>356</v>
      </c>
      <c r="D120" s="106" t="s">
        <v>357</v>
      </c>
      <c r="E120" s="106" t="s">
        <v>358</v>
      </c>
      <c r="F120" s="106" t="s">
        <v>359</v>
      </c>
      <c r="G120" s="106" t="s">
        <v>360</v>
      </c>
      <c r="H120" s="105" t="s">
        <v>361</v>
      </c>
      <c r="I120" s="106" t="s">
        <v>101</v>
      </c>
    </row>
    <row r="121" spans="1:9">
      <c r="A121" s="173" t="s">
        <v>496</v>
      </c>
      <c r="B121" s="9">
        <v>549.96</v>
      </c>
      <c r="C121" s="232" t="s">
        <v>495</v>
      </c>
      <c r="D121" s="232" t="s">
        <v>494</v>
      </c>
      <c r="E121" s="58" t="s">
        <v>280</v>
      </c>
      <c r="F121" s="236">
        <v>0.1125</v>
      </c>
      <c r="G121" s="232" t="s">
        <v>477</v>
      </c>
      <c r="H121" s="232" t="s">
        <v>483</v>
      </c>
      <c r="I121" s="4"/>
    </row>
    <row r="122" spans="1:9">
      <c r="A122" s="173" t="s">
        <v>491</v>
      </c>
      <c r="B122" s="9">
        <v>76.459999999999994</v>
      </c>
      <c r="C122" s="232" t="s">
        <v>495</v>
      </c>
      <c r="D122" s="232" t="s">
        <v>493</v>
      </c>
      <c r="E122" s="58" t="s">
        <v>280</v>
      </c>
      <c r="F122" s="236">
        <v>0.1125</v>
      </c>
      <c r="G122" s="232" t="s">
        <v>477</v>
      </c>
      <c r="H122" s="232" t="s">
        <v>483</v>
      </c>
      <c r="I122" s="4"/>
    </row>
    <row r="123" spans="1:9">
      <c r="A123" s="173" t="s">
        <v>492</v>
      </c>
      <c r="B123" s="9">
        <v>120.22</v>
      </c>
      <c r="C123" s="232" t="s">
        <v>495</v>
      </c>
      <c r="D123" s="232" t="s">
        <v>494</v>
      </c>
      <c r="E123" s="58" t="s">
        <v>281</v>
      </c>
      <c r="F123" s="236">
        <v>0.1125</v>
      </c>
      <c r="G123" s="232" t="s">
        <v>477</v>
      </c>
      <c r="H123" s="232" t="s">
        <v>484</v>
      </c>
      <c r="I123" s="4"/>
    </row>
    <row r="124" spans="1:9">
      <c r="A124" s="200" t="s">
        <v>499</v>
      </c>
      <c r="B124" s="9">
        <v>202.83</v>
      </c>
      <c r="C124" s="232" t="s">
        <v>495</v>
      </c>
      <c r="D124" s="232" t="s">
        <v>493</v>
      </c>
      <c r="E124" s="58" t="s">
        <v>280</v>
      </c>
      <c r="F124" s="236">
        <v>0.1125</v>
      </c>
      <c r="G124" s="232" t="s">
        <v>477</v>
      </c>
      <c r="H124" s="232" t="s">
        <v>483</v>
      </c>
      <c r="I124" s="4"/>
    </row>
    <row r="125" spans="1:9">
      <c r="A125" s="200" t="s">
        <v>500</v>
      </c>
      <c r="B125" s="9">
        <v>202.83</v>
      </c>
      <c r="C125" s="232" t="s">
        <v>495</v>
      </c>
      <c r="D125" s="232" t="s">
        <v>493</v>
      </c>
      <c r="E125" s="58" t="s">
        <v>281</v>
      </c>
      <c r="F125" s="236">
        <v>0.1125</v>
      </c>
      <c r="G125" s="232" t="s">
        <v>477</v>
      </c>
      <c r="H125" s="232" t="s">
        <v>484</v>
      </c>
      <c r="I125" s="4"/>
    </row>
    <row r="126" spans="1:9">
      <c r="A126" s="200" t="s">
        <v>498</v>
      </c>
      <c r="B126" s="9">
        <v>53.16</v>
      </c>
      <c r="C126" s="232" t="s">
        <v>495</v>
      </c>
      <c r="D126" s="232" t="s">
        <v>493</v>
      </c>
      <c r="E126" s="58" t="s">
        <v>280</v>
      </c>
      <c r="F126" s="236">
        <v>0.1125</v>
      </c>
      <c r="G126" s="232" t="s">
        <v>477</v>
      </c>
      <c r="H126" s="232" t="s">
        <v>483</v>
      </c>
      <c r="I126" s="4"/>
    </row>
    <row r="127" spans="1:9">
      <c r="A127" s="200" t="s">
        <v>497</v>
      </c>
      <c r="B127" s="9">
        <v>109.5</v>
      </c>
      <c r="C127" s="232" t="s">
        <v>495</v>
      </c>
      <c r="D127" s="232" t="s">
        <v>493</v>
      </c>
      <c r="E127" s="235" t="s">
        <v>281</v>
      </c>
      <c r="F127" s="236">
        <v>0.1125</v>
      </c>
      <c r="G127" s="232" t="s">
        <v>477</v>
      </c>
      <c r="H127" s="232" t="s">
        <v>484</v>
      </c>
      <c r="I127" s="4"/>
    </row>
    <row r="128" spans="1:9">
      <c r="A128" s="100" t="s">
        <v>96</v>
      </c>
      <c r="B128" s="29">
        <f>SUM(B121:B127)</f>
        <v>1314.9600000000003</v>
      </c>
      <c r="C128" s="99"/>
      <c r="D128" s="99"/>
      <c r="E128" s="99"/>
      <c r="F128" s="99"/>
      <c r="G128" s="99"/>
      <c r="H128" s="99"/>
      <c r="I128" s="99"/>
    </row>
    <row r="131" spans="1:9">
      <c r="A131" s="97" t="s">
        <v>435</v>
      </c>
      <c r="B131" s="88"/>
      <c r="C131" s="11"/>
      <c r="D131" s="11"/>
      <c r="E131" s="10"/>
      <c r="G131" s="57" t="s">
        <v>247</v>
      </c>
      <c r="H131" s="11"/>
      <c r="I131" s="11"/>
    </row>
    <row r="132" spans="1:9" ht="38.25">
      <c r="A132" s="106" t="s">
        <v>0</v>
      </c>
      <c r="B132" s="107" t="s">
        <v>195</v>
      </c>
      <c r="C132" s="106" t="s">
        <v>356</v>
      </c>
      <c r="D132" s="106" t="s">
        <v>357</v>
      </c>
      <c r="E132" s="106" t="s">
        <v>358</v>
      </c>
      <c r="F132" s="106" t="s">
        <v>359</v>
      </c>
      <c r="G132" s="106" t="s">
        <v>360</v>
      </c>
      <c r="H132" s="105" t="s">
        <v>361</v>
      </c>
      <c r="I132" s="106" t="s">
        <v>101</v>
      </c>
    </row>
    <row r="133" spans="1:9">
      <c r="A133" s="173" t="s">
        <v>496</v>
      </c>
      <c r="B133" s="9">
        <v>569.92999999999995</v>
      </c>
      <c r="C133" s="232" t="s">
        <v>495</v>
      </c>
      <c r="D133" s="232" t="s">
        <v>494</v>
      </c>
      <c r="E133" s="58" t="s">
        <v>280</v>
      </c>
      <c r="F133" s="236">
        <v>0.1125</v>
      </c>
      <c r="G133" s="232" t="s">
        <v>477</v>
      </c>
      <c r="H133" s="232" t="s">
        <v>483</v>
      </c>
      <c r="I133" s="4"/>
    </row>
    <row r="134" spans="1:9">
      <c r="A134" s="173" t="s">
        <v>491</v>
      </c>
      <c r="B134" s="9">
        <v>74.39</v>
      </c>
      <c r="C134" s="232" t="s">
        <v>495</v>
      </c>
      <c r="D134" s="232" t="s">
        <v>493</v>
      </c>
      <c r="E134" s="58" t="s">
        <v>280</v>
      </c>
      <c r="F134" s="236">
        <v>0.1125</v>
      </c>
      <c r="G134" s="232" t="s">
        <v>477</v>
      </c>
      <c r="H134" s="232" t="s">
        <v>483</v>
      </c>
      <c r="I134" s="4"/>
    </row>
    <row r="135" spans="1:9">
      <c r="A135" s="173" t="s">
        <v>492</v>
      </c>
      <c r="B135" s="9">
        <v>139.61000000000001</v>
      </c>
      <c r="C135" s="232" t="s">
        <v>495</v>
      </c>
      <c r="D135" s="232" t="s">
        <v>494</v>
      </c>
      <c r="E135" s="58" t="s">
        <v>281</v>
      </c>
      <c r="F135" s="236">
        <v>0.1125</v>
      </c>
      <c r="G135" s="232" t="s">
        <v>477</v>
      </c>
      <c r="H135" s="232" t="s">
        <v>484</v>
      </c>
      <c r="I135" s="4"/>
    </row>
    <row r="136" spans="1:9">
      <c r="A136" s="200" t="s">
        <v>499</v>
      </c>
      <c r="B136" s="9">
        <v>222.24</v>
      </c>
      <c r="C136" s="232" t="s">
        <v>495</v>
      </c>
      <c r="D136" s="232" t="s">
        <v>493</v>
      </c>
      <c r="E136" s="58" t="s">
        <v>280</v>
      </c>
      <c r="F136" s="236">
        <v>0.1125</v>
      </c>
      <c r="G136" s="232" t="s">
        <v>477</v>
      </c>
      <c r="H136" s="232" t="s">
        <v>483</v>
      </c>
      <c r="I136" s="4"/>
    </row>
    <row r="137" spans="1:9">
      <c r="A137" s="200" t="s">
        <v>500</v>
      </c>
      <c r="B137" s="9">
        <v>222.24</v>
      </c>
      <c r="C137" s="232" t="s">
        <v>495</v>
      </c>
      <c r="D137" s="232" t="s">
        <v>493</v>
      </c>
      <c r="E137" s="58" t="s">
        <v>281</v>
      </c>
      <c r="F137" s="236">
        <v>0.1125</v>
      </c>
      <c r="G137" s="232" t="s">
        <v>477</v>
      </c>
      <c r="H137" s="232" t="s">
        <v>484</v>
      </c>
      <c r="I137" s="4"/>
    </row>
    <row r="138" spans="1:9">
      <c r="A138" s="200" t="s">
        <v>498</v>
      </c>
      <c r="B138" s="9">
        <v>56.68</v>
      </c>
      <c r="C138" s="232" t="s">
        <v>495</v>
      </c>
      <c r="D138" s="232" t="s">
        <v>493</v>
      </c>
      <c r="E138" s="58" t="s">
        <v>280</v>
      </c>
      <c r="F138" s="236">
        <v>0.1125</v>
      </c>
      <c r="G138" s="232" t="s">
        <v>477</v>
      </c>
      <c r="H138" s="232" t="s">
        <v>483</v>
      </c>
      <c r="I138" s="4"/>
    </row>
    <row r="139" spans="1:9">
      <c r="A139" s="200" t="s">
        <v>497</v>
      </c>
      <c r="B139" s="9">
        <v>1.0900000000000001</v>
      </c>
      <c r="C139" s="232" t="s">
        <v>495</v>
      </c>
      <c r="D139" s="232" t="s">
        <v>493</v>
      </c>
      <c r="E139" s="235" t="s">
        <v>281</v>
      </c>
      <c r="F139" s="236">
        <v>0.1125</v>
      </c>
      <c r="G139" s="232" t="s">
        <v>477</v>
      </c>
      <c r="H139" s="232" t="s">
        <v>484</v>
      </c>
      <c r="I139" s="4"/>
    </row>
    <row r="140" spans="1:9">
      <c r="A140" s="100" t="s">
        <v>96</v>
      </c>
      <c r="B140" s="29">
        <f>SUM(B133:B139)</f>
        <v>1286.1799999999998</v>
      </c>
      <c r="C140" s="99"/>
      <c r="D140" s="99"/>
      <c r="E140" s="99"/>
      <c r="F140" s="99"/>
      <c r="G140" s="99"/>
      <c r="H140" s="99"/>
      <c r="I140" s="99"/>
    </row>
    <row r="143" spans="1:9">
      <c r="A143" s="97" t="s">
        <v>436</v>
      </c>
      <c r="B143" s="88"/>
      <c r="C143" s="11"/>
      <c r="D143" s="11"/>
      <c r="E143" s="10"/>
      <c r="G143" s="57" t="s">
        <v>247</v>
      </c>
      <c r="H143" s="11"/>
      <c r="I143" s="11"/>
    </row>
    <row r="144" spans="1:9" ht="38.25">
      <c r="A144" s="106" t="s">
        <v>0</v>
      </c>
      <c r="B144" s="107" t="s">
        <v>195</v>
      </c>
      <c r="C144" s="106" t="s">
        <v>356</v>
      </c>
      <c r="D144" s="106" t="s">
        <v>357</v>
      </c>
      <c r="E144" s="106" t="s">
        <v>358</v>
      </c>
      <c r="F144" s="106" t="s">
        <v>359</v>
      </c>
      <c r="G144" s="106" t="s">
        <v>360</v>
      </c>
      <c r="H144" s="105" t="s">
        <v>361</v>
      </c>
      <c r="I144" s="106" t="s">
        <v>101</v>
      </c>
    </row>
    <row r="145" spans="1:9">
      <c r="A145" s="173" t="s">
        <v>496</v>
      </c>
      <c r="B145" s="9">
        <v>372.3</v>
      </c>
      <c r="C145" s="232" t="s">
        <v>495</v>
      </c>
      <c r="D145" s="232" t="s">
        <v>494</v>
      </c>
      <c r="E145" s="58" t="s">
        <v>280</v>
      </c>
      <c r="F145" s="236">
        <v>0.1125</v>
      </c>
      <c r="G145" s="232" t="s">
        <v>477</v>
      </c>
      <c r="H145" s="232" t="s">
        <v>483</v>
      </c>
      <c r="I145" s="4"/>
    </row>
    <row r="146" spans="1:9">
      <c r="A146" s="173" t="s">
        <v>491</v>
      </c>
      <c r="B146" s="9">
        <v>23.86</v>
      </c>
      <c r="C146" s="232" t="s">
        <v>495</v>
      </c>
      <c r="D146" s="232" t="s">
        <v>493</v>
      </c>
      <c r="E146" s="58" t="s">
        <v>280</v>
      </c>
      <c r="F146" s="236">
        <v>0.1125</v>
      </c>
      <c r="G146" s="232" t="s">
        <v>477</v>
      </c>
      <c r="H146" s="232" t="s">
        <v>483</v>
      </c>
      <c r="I146" s="4"/>
    </row>
    <row r="147" spans="1:9">
      <c r="A147" s="173" t="s">
        <v>492</v>
      </c>
      <c r="B147" s="9">
        <v>41.39</v>
      </c>
      <c r="C147" s="232" t="s">
        <v>495</v>
      </c>
      <c r="D147" s="232" t="s">
        <v>494</v>
      </c>
      <c r="E147" s="58" t="s">
        <v>281</v>
      </c>
      <c r="F147" s="236">
        <v>0.1125</v>
      </c>
      <c r="G147" s="232" t="s">
        <v>477</v>
      </c>
      <c r="H147" s="232" t="s">
        <v>484</v>
      </c>
      <c r="I147" s="4"/>
    </row>
    <row r="148" spans="1:9">
      <c r="A148" s="200" t="s">
        <v>499</v>
      </c>
      <c r="B148" s="9">
        <v>294.77</v>
      </c>
      <c r="C148" s="232" t="s">
        <v>495</v>
      </c>
      <c r="D148" s="232" t="s">
        <v>493</v>
      </c>
      <c r="E148" s="58" t="s">
        <v>280</v>
      </c>
      <c r="F148" s="236">
        <v>0.1125</v>
      </c>
      <c r="G148" s="232" t="s">
        <v>477</v>
      </c>
      <c r="H148" s="232" t="s">
        <v>483</v>
      </c>
      <c r="I148" s="4"/>
    </row>
    <row r="149" spans="1:9">
      <c r="A149" s="200" t="s">
        <v>500</v>
      </c>
      <c r="B149" s="9">
        <v>294.77</v>
      </c>
      <c r="C149" s="232" t="s">
        <v>495</v>
      </c>
      <c r="D149" s="232" t="s">
        <v>493</v>
      </c>
      <c r="E149" s="58" t="s">
        <v>281</v>
      </c>
      <c r="F149" s="236">
        <v>0.1125</v>
      </c>
      <c r="G149" s="232" t="s">
        <v>477</v>
      </c>
      <c r="H149" s="232" t="s">
        <v>484</v>
      </c>
      <c r="I149" s="4"/>
    </row>
    <row r="150" spans="1:9">
      <c r="A150" s="200" t="s">
        <v>498</v>
      </c>
      <c r="B150" s="9">
        <v>60.09</v>
      </c>
      <c r="C150" s="232" t="s">
        <v>495</v>
      </c>
      <c r="D150" s="232" t="s">
        <v>493</v>
      </c>
      <c r="E150" s="58" t="s">
        <v>280</v>
      </c>
      <c r="F150" s="236">
        <v>0.1125</v>
      </c>
      <c r="G150" s="232" t="s">
        <v>477</v>
      </c>
      <c r="H150" s="232" t="s">
        <v>483</v>
      </c>
      <c r="I150" s="4"/>
    </row>
    <row r="151" spans="1:9">
      <c r="A151" s="200" t="s">
        <v>497</v>
      </c>
      <c r="B151" s="9">
        <v>0.64</v>
      </c>
      <c r="C151" s="232" t="s">
        <v>495</v>
      </c>
      <c r="D151" s="232" t="s">
        <v>493</v>
      </c>
      <c r="E151" s="235" t="s">
        <v>281</v>
      </c>
      <c r="F151" s="236">
        <v>0.1125</v>
      </c>
      <c r="G151" s="232" t="s">
        <v>477</v>
      </c>
      <c r="H151" s="232" t="s">
        <v>484</v>
      </c>
      <c r="I151" s="4"/>
    </row>
    <row r="152" spans="1:9">
      <c r="A152" s="100" t="s">
        <v>96</v>
      </c>
      <c r="B152" s="29">
        <f>SUM(B145:B151)</f>
        <v>1087.82</v>
      </c>
      <c r="C152" s="99"/>
      <c r="D152" s="99"/>
      <c r="E152" s="99"/>
      <c r="F152" s="99"/>
      <c r="G152" s="99"/>
      <c r="H152" s="99"/>
      <c r="I152" s="99"/>
    </row>
    <row r="155" spans="1:9">
      <c r="A155" s="97" t="s">
        <v>437</v>
      </c>
      <c r="B155" s="88"/>
      <c r="C155" s="11"/>
      <c r="D155" s="11"/>
      <c r="E155" s="10"/>
      <c r="G155" s="57" t="s">
        <v>247</v>
      </c>
      <c r="H155" s="11"/>
      <c r="I155" s="11"/>
    </row>
    <row r="156" spans="1:9" ht="38.25">
      <c r="A156" s="106" t="s">
        <v>0</v>
      </c>
      <c r="B156" s="107" t="s">
        <v>195</v>
      </c>
      <c r="C156" s="106" t="s">
        <v>356</v>
      </c>
      <c r="D156" s="106" t="s">
        <v>357</v>
      </c>
      <c r="E156" s="106" t="s">
        <v>358</v>
      </c>
      <c r="F156" s="106" t="s">
        <v>359</v>
      </c>
      <c r="G156" s="106" t="s">
        <v>360</v>
      </c>
      <c r="H156" s="105" t="s">
        <v>361</v>
      </c>
      <c r="I156" s="106" t="s">
        <v>101</v>
      </c>
    </row>
    <row r="157" spans="1:9">
      <c r="A157" s="173" t="s">
        <v>496</v>
      </c>
      <c r="B157" s="9">
        <v>233.9</v>
      </c>
      <c r="C157" s="232" t="s">
        <v>495</v>
      </c>
      <c r="D157" s="232" t="s">
        <v>494</v>
      </c>
      <c r="E157" s="58" t="s">
        <v>280</v>
      </c>
      <c r="F157" s="236">
        <v>0.1125</v>
      </c>
      <c r="G157" s="232" t="s">
        <v>477</v>
      </c>
      <c r="H157" s="232" t="s">
        <v>483</v>
      </c>
      <c r="I157" s="4"/>
    </row>
    <row r="158" spans="1:9">
      <c r="A158" s="173" t="s">
        <v>492</v>
      </c>
      <c r="B158" s="9">
        <v>12.05</v>
      </c>
      <c r="C158" s="232" t="s">
        <v>495</v>
      </c>
      <c r="D158" s="232" t="s">
        <v>494</v>
      </c>
      <c r="E158" s="58" t="s">
        <v>281</v>
      </c>
      <c r="F158" s="236">
        <v>0.1125</v>
      </c>
      <c r="G158" s="232" t="s">
        <v>477</v>
      </c>
      <c r="H158" s="232" t="s">
        <v>484</v>
      </c>
      <c r="I158" s="4"/>
    </row>
    <row r="159" spans="1:9">
      <c r="A159" s="200" t="s">
        <v>499</v>
      </c>
      <c r="B159" s="9">
        <v>303.81</v>
      </c>
      <c r="C159" s="232" t="s">
        <v>495</v>
      </c>
      <c r="D159" s="232" t="s">
        <v>493</v>
      </c>
      <c r="E159" s="58" t="s">
        <v>280</v>
      </c>
      <c r="F159" s="236">
        <v>0.1125</v>
      </c>
      <c r="G159" s="232" t="s">
        <v>477</v>
      </c>
      <c r="H159" s="232" t="s">
        <v>483</v>
      </c>
      <c r="I159" s="4"/>
    </row>
    <row r="160" spans="1:9">
      <c r="A160" s="200" t="s">
        <v>500</v>
      </c>
      <c r="B160" s="9">
        <v>303.81</v>
      </c>
      <c r="C160" s="232" t="s">
        <v>495</v>
      </c>
      <c r="D160" s="232" t="s">
        <v>493</v>
      </c>
      <c r="E160" s="58" t="s">
        <v>281</v>
      </c>
      <c r="F160" s="236">
        <v>0.1125</v>
      </c>
      <c r="G160" s="232" t="s">
        <v>477</v>
      </c>
      <c r="H160" s="232" t="s">
        <v>484</v>
      </c>
      <c r="I160" s="4"/>
    </row>
    <row r="161" spans="1:9">
      <c r="A161" s="200" t="s">
        <v>498</v>
      </c>
      <c r="B161" s="9">
        <v>64.459999999999994</v>
      </c>
      <c r="C161" s="232" t="s">
        <v>495</v>
      </c>
      <c r="D161" s="232" t="s">
        <v>493</v>
      </c>
      <c r="E161" s="58" t="s">
        <v>280</v>
      </c>
      <c r="F161" s="236">
        <v>0.1125</v>
      </c>
      <c r="G161" s="232" t="s">
        <v>477</v>
      </c>
      <c r="H161" s="232" t="s">
        <v>483</v>
      </c>
      <c r="I161" s="4"/>
    </row>
    <row r="162" spans="1:9">
      <c r="A162" s="200" t="s">
        <v>497</v>
      </c>
      <c r="B162" s="9">
        <v>0.05</v>
      </c>
      <c r="C162" s="232" t="s">
        <v>495</v>
      </c>
      <c r="D162" s="232" t="s">
        <v>493</v>
      </c>
      <c r="E162" s="235" t="s">
        <v>281</v>
      </c>
      <c r="F162" s="236">
        <v>0.1125</v>
      </c>
      <c r="G162" s="232" t="s">
        <v>477</v>
      </c>
      <c r="H162" s="232" t="s">
        <v>484</v>
      </c>
      <c r="I162" s="4"/>
    </row>
    <row r="163" spans="1:9">
      <c r="A163" s="100" t="s">
        <v>96</v>
      </c>
      <c r="B163" s="29">
        <f>SUM(B157:B162)</f>
        <v>918.07999999999993</v>
      </c>
      <c r="C163" s="99"/>
      <c r="D163" s="99"/>
      <c r="E163" s="99"/>
      <c r="F163" s="99"/>
      <c r="G163" s="99"/>
      <c r="H163" s="99"/>
      <c r="I163" s="99"/>
    </row>
  </sheetData>
  <protectedRanges>
    <protectedRange sqref="A6:I15 A21:I30 A36:I45 A51:I60 A66:I75 A81:I90 I157:I162 I121:I127 I133:I139 I145:I151" name="Form 1.1g 1"/>
    <protectedRange sqref="A110:I114 C121:D127 G121:G127 C133:D139 G133:G139 C145:D151 G145:G151 B109:I109 B115:I115 A124:A126 A136:A138 A148:A150 A159:A161 G157:G162 C157:D162" name="Form 1.1g 1_1"/>
    <protectedRange sqref="A122:B123 E121:F127 H121:H127 B121 B124:B127" name="Form 1.1g 1_2"/>
    <protectedRange sqref="A134:B135 E133:F139 H133:H139 B133 B136:B139" name="Form 1.1g 1_3"/>
    <protectedRange sqref="E145:F151 H145:H151 A109 A121 A133 A145:B147 A139 A127 A115 A151:B151 B148:B150" name="Form 1.1g 1_4"/>
    <protectedRange sqref="A157:B158 A162:B162 B159:B161 H157:H162 E157:F162" name="Form 1.1g 1_5"/>
    <protectedRange sqref="B98:I104" name="Form 1.1g 1_1_1"/>
    <protectedRange sqref="A99:A104" name="Form 1.1g 1_1_1_1"/>
    <protectedRange sqref="A98" name="Form 1.1g 1_4_1"/>
  </protectedRanges>
  <phoneticPr fontId="3" type="noConversion"/>
  <dataValidations count="1">
    <dataValidation type="decimal" allowBlank="1" showInputMessage="1" showErrorMessage="1" sqref="B1:B16 B155:B163 B131:B140 B107:B116 B79:B91 B64:B76 B49:B61 B34:B46 B19:B31 B119:B128 B143:B152 B93:B105">
      <formula1>-10000000000000</formula1>
      <formula2>100000000000000</formula2>
    </dataValidation>
  </dataValidations>
  <printOptions horizontalCentered="1"/>
  <pageMargins left="0.53" right="0.16" top="0.88" bottom="1" header="0.22" footer="0.5"/>
  <pageSetup paperSize="9" scale="68" orientation="portrait" horizontalDpi="4294967295" verticalDpi="4294967295" r:id="rId1"/>
  <headerFooter alignWithMargins="0"/>
  <rowBreaks count="1" manualBreakCount="1">
    <brk id="154" max="8" man="1"/>
  </rowBreaks>
</worksheet>
</file>

<file path=xl/worksheets/sheet14.xml><?xml version="1.0" encoding="utf-8"?>
<worksheet xmlns="http://schemas.openxmlformats.org/spreadsheetml/2006/main" xmlns:r="http://schemas.openxmlformats.org/officeDocument/2006/relationships">
  <dimension ref="A1:W166"/>
  <sheetViews>
    <sheetView showGridLines="0" view="pageBreakPreview" topLeftCell="A147" zoomScaleSheetLayoutView="100" workbookViewId="0">
      <selection activeCell="H118" sqref="H118"/>
    </sheetView>
  </sheetViews>
  <sheetFormatPr defaultRowHeight="12.75"/>
  <cols>
    <col min="1" max="1" width="6.28515625" customWidth="1"/>
    <col min="2" max="2" width="12.140625" customWidth="1"/>
    <col min="3" max="3" width="7.7109375" bestFit="1" customWidth="1"/>
    <col min="5" max="5" width="6.85546875" bestFit="1" customWidth="1"/>
    <col min="6" max="6" width="8.7109375" bestFit="1" customWidth="1"/>
    <col min="7" max="7" width="8.28515625" bestFit="1" customWidth="1"/>
    <col min="8" max="8" width="9.85546875" customWidth="1"/>
    <col min="9" max="10" width="8.42578125" bestFit="1" customWidth="1"/>
    <col min="11" max="11" width="10.28515625" customWidth="1"/>
    <col min="12" max="12" width="4.7109375" customWidth="1"/>
    <col min="19" max="20" width="8.42578125" bestFit="1" customWidth="1"/>
    <col min="21" max="21" width="5.85546875" bestFit="1" customWidth="1"/>
    <col min="22" max="22" width="5.140625" bestFit="1" customWidth="1"/>
    <col min="23" max="23" width="8.140625" bestFit="1" customWidth="1"/>
  </cols>
  <sheetData>
    <row r="1" spans="1:23">
      <c r="A1" s="19" t="s">
        <v>245</v>
      </c>
      <c r="B1" s="7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1"/>
      <c r="V1" s="11"/>
      <c r="W1" s="11"/>
    </row>
    <row r="2" spans="1:23">
      <c r="A2" s="30" t="s">
        <v>246</v>
      </c>
      <c r="B2" s="7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1"/>
      <c r="V2" s="11"/>
      <c r="W2" s="11"/>
    </row>
    <row r="3" spans="1:23" hidden="1">
      <c r="A3" s="7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11"/>
      <c r="V3" s="11"/>
      <c r="W3" s="11"/>
    </row>
    <row r="4" spans="1:23" hidden="1">
      <c r="A4" s="84" t="s">
        <v>17</v>
      </c>
      <c r="B4" s="7"/>
      <c r="C4" s="7"/>
      <c r="D4" s="7"/>
      <c r="E4" s="6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85" t="s">
        <v>247</v>
      </c>
      <c r="R4" s="85"/>
      <c r="S4" s="85"/>
      <c r="T4" s="7"/>
      <c r="U4" s="11"/>
      <c r="V4" s="11"/>
      <c r="W4" s="11"/>
    </row>
    <row r="5" spans="1:23" s="86" customFormat="1" ht="56.25" hidden="1">
      <c r="A5" s="114" t="s">
        <v>248</v>
      </c>
      <c r="B5" s="114" t="s">
        <v>249</v>
      </c>
      <c r="C5" s="114" t="s">
        <v>271</v>
      </c>
      <c r="D5" s="114" t="s">
        <v>250</v>
      </c>
      <c r="E5" s="114" t="s">
        <v>251</v>
      </c>
      <c r="F5" s="114" t="s">
        <v>252</v>
      </c>
      <c r="G5" s="114" t="s">
        <v>253</v>
      </c>
      <c r="H5" s="114" t="s">
        <v>254</v>
      </c>
      <c r="I5" s="114" t="s">
        <v>255</v>
      </c>
      <c r="J5" s="114" t="s">
        <v>256</v>
      </c>
      <c r="K5" s="114" t="s">
        <v>257</v>
      </c>
      <c r="L5" s="114" t="s">
        <v>258</v>
      </c>
      <c r="M5" s="114" t="s">
        <v>259</v>
      </c>
      <c r="N5" s="114" t="s">
        <v>260</v>
      </c>
      <c r="O5" s="114" t="s">
        <v>261</v>
      </c>
      <c r="P5" s="114" t="s">
        <v>262</v>
      </c>
      <c r="Q5" s="115" t="s">
        <v>263</v>
      </c>
      <c r="R5" s="111" t="s">
        <v>264</v>
      </c>
      <c r="S5" s="114" t="s">
        <v>265</v>
      </c>
      <c r="T5" s="114" t="s">
        <v>266</v>
      </c>
      <c r="U5" s="116" t="s">
        <v>267</v>
      </c>
      <c r="V5" s="116" t="s">
        <v>268</v>
      </c>
      <c r="W5" s="116" t="s">
        <v>101</v>
      </c>
    </row>
    <row r="6" spans="1:23" hidden="1">
      <c r="A6" s="32" t="s">
        <v>269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</row>
    <row r="7" spans="1:23" hidden="1">
      <c r="A7" s="4"/>
      <c r="B7" s="4"/>
      <c r="C7" s="4"/>
      <c r="D7" s="4"/>
      <c r="E7" s="4"/>
      <c r="F7" s="4"/>
      <c r="G7" s="58"/>
      <c r="H7" s="4"/>
      <c r="I7" s="4"/>
      <c r="J7" s="4"/>
      <c r="K7" s="4"/>
      <c r="L7" s="4"/>
      <c r="M7" s="4"/>
      <c r="N7" s="4"/>
      <c r="O7" s="4"/>
      <c r="P7" s="9">
        <f>+M7+N7-O7</f>
        <v>0</v>
      </c>
      <c r="Q7" s="4"/>
      <c r="R7" s="4"/>
      <c r="S7" s="4"/>
      <c r="T7" s="4"/>
      <c r="U7" s="4"/>
      <c r="V7" s="4"/>
      <c r="W7" s="4"/>
    </row>
    <row r="8" spans="1:23" hidden="1">
      <c r="A8" s="4"/>
      <c r="B8" s="4"/>
      <c r="C8" s="4"/>
      <c r="D8" s="4"/>
      <c r="E8" s="4"/>
      <c r="F8" s="4"/>
      <c r="G8" s="58"/>
      <c r="H8" s="4"/>
      <c r="I8" s="4"/>
      <c r="J8" s="4"/>
      <c r="K8" s="4"/>
      <c r="L8" s="4"/>
      <c r="M8" s="4"/>
      <c r="N8" s="4"/>
      <c r="O8" s="4"/>
      <c r="P8" s="9">
        <f>+M8+N8-O8</f>
        <v>0</v>
      </c>
      <c r="Q8" s="4"/>
      <c r="R8" s="4"/>
      <c r="S8" s="4"/>
      <c r="T8" s="4"/>
      <c r="U8" s="4"/>
      <c r="V8" s="4"/>
      <c r="W8" s="4"/>
    </row>
    <row r="9" spans="1:23" hidden="1">
      <c r="A9" s="4"/>
      <c r="B9" s="4"/>
      <c r="C9" s="4"/>
      <c r="D9" s="4"/>
      <c r="E9" s="4"/>
      <c r="F9" s="4"/>
      <c r="G9" s="58"/>
      <c r="H9" s="4"/>
      <c r="I9" s="4"/>
      <c r="J9" s="4"/>
      <c r="K9" s="4"/>
      <c r="L9" s="4"/>
      <c r="M9" s="4"/>
      <c r="N9" s="4"/>
      <c r="O9" s="4"/>
      <c r="P9" s="9">
        <f>+M9+N9-O9</f>
        <v>0</v>
      </c>
      <c r="Q9" s="4"/>
      <c r="R9" s="4"/>
      <c r="S9" s="4"/>
      <c r="T9" s="4"/>
      <c r="U9" s="4"/>
      <c r="V9" s="4"/>
      <c r="W9" s="4"/>
    </row>
    <row r="10" spans="1:23" hidden="1">
      <c r="A10" s="23"/>
      <c r="B10" s="9"/>
      <c r="C10" s="4"/>
      <c r="D10" s="4"/>
      <c r="E10" s="4"/>
      <c r="F10" s="4"/>
      <c r="G10" s="4"/>
      <c r="H10" s="29">
        <f t="shared" ref="H10:R10" si="0">SUM(H7:H9)</f>
        <v>0</v>
      </c>
      <c r="I10" s="29">
        <f t="shared" si="0"/>
        <v>0</v>
      </c>
      <c r="J10" s="29">
        <f t="shared" si="0"/>
        <v>0</v>
      </c>
      <c r="K10" s="29">
        <f t="shared" si="0"/>
        <v>0</v>
      </c>
      <c r="L10" s="29">
        <f t="shared" si="0"/>
        <v>0</v>
      </c>
      <c r="M10" s="29">
        <f t="shared" si="0"/>
        <v>0</v>
      </c>
      <c r="N10" s="29">
        <f t="shared" si="0"/>
        <v>0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  <c r="S10" s="4"/>
      <c r="T10" s="4"/>
      <c r="U10" s="4"/>
      <c r="V10" s="4"/>
      <c r="W10" s="4"/>
    </row>
    <row r="11" spans="1:23" hidden="1">
      <c r="A11" s="32" t="s">
        <v>270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</row>
    <row r="12" spans="1:23" hidden="1">
      <c r="A12" s="4"/>
      <c r="B12" s="4"/>
      <c r="C12" s="4"/>
      <c r="D12" s="4"/>
      <c r="E12" s="4"/>
      <c r="F12" s="4"/>
      <c r="G12" s="58"/>
      <c r="H12" s="4"/>
      <c r="I12" s="4"/>
      <c r="J12" s="4"/>
      <c r="K12" s="4"/>
      <c r="L12" s="4"/>
      <c r="M12" s="4"/>
      <c r="N12" s="4"/>
      <c r="O12" s="4"/>
      <c r="P12" s="9">
        <f>+M12+N12-O12</f>
        <v>0</v>
      </c>
      <c r="Q12" s="4"/>
      <c r="R12" s="4"/>
      <c r="S12" s="4"/>
      <c r="T12" s="4"/>
      <c r="U12" s="4"/>
      <c r="V12" s="4"/>
      <c r="W12" s="4"/>
    </row>
    <row r="13" spans="1:23" hidden="1">
      <c r="A13" s="4"/>
      <c r="B13" s="4"/>
      <c r="C13" s="4"/>
      <c r="D13" s="4"/>
      <c r="E13" s="4"/>
      <c r="F13" s="4"/>
      <c r="G13" s="58"/>
      <c r="H13" s="4"/>
      <c r="I13" s="4"/>
      <c r="J13" s="4"/>
      <c r="K13" s="4"/>
      <c r="L13" s="4"/>
      <c r="M13" s="4"/>
      <c r="N13" s="4"/>
      <c r="O13" s="4"/>
      <c r="P13" s="9">
        <f>+M13+N13-O13</f>
        <v>0</v>
      </c>
      <c r="Q13" s="4"/>
      <c r="R13" s="4"/>
      <c r="S13" s="4"/>
      <c r="T13" s="4"/>
      <c r="U13" s="4"/>
      <c r="V13" s="4"/>
      <c r="W13" s="4"/>
    </row>
    <row r="14" spans="1:23" hidden="1">
      <c r="A14" s="4"/>
      <c r="B14" s="4"/>
      <c r="C14" s="4"/>
      <c r="D14" s="4"/>
      <c r="E14" s="4"/>
      <c r="F14" s="4"/>
      <c r="G14" s="58"/>
      <c r="H14" s="4"/>
      <c r="I14" s="4"/>
      <c r="J14" s="4"/>
      <c r="K14" s="4"/>
      <c r="L14" s="4"/>
      <c r="M14" s="4"/>
      <c r="N14" s="4"/>
      <c r="O14" s="4"/>
      <c r="P14" s="9">
        <f>+M14+N14-O14</f>
        <v>0</v>
      </c>
      <c r="Q14" s="4"/>
      <c r="R14" s="4"/>
      <c r="S14" s="4"/>
      <c r="T14" s="4"/>
      <c r="U14" s="4"/>
      <c r="V14" s="4"/>
      <c r="W14" s="4"/>
    </row>
    <row r="15" spans="1:23" s="10" customFormat="1" hidden="1">
      <c r="A15" s="23"/>
      <c r="B15" s="18"/>
      <c r="C15" s="18"/>
      <c r="D15" s="18"/>
      <c r="E15" s="18"/>
      <c r="F15" s="18"/>
      <c r="G15" s="18"/>
      <c r="H15" s="29">
        <f t="shared" ref="H15:R15" si="1">SUM(H12:H14)</f>
        <v>0</v>
      </c>
      <c r="I15" s="29">
        <f t="shared" si="1"/>
        <v>0</v>
      </c>
      <c r="J15" s="29">
        <f t="shared" si="1"/>
        <v>0</v>
      </c>
      <c r="K15" s="29">
        <f t="shared" si="1"/>
        <v>0</v>
      </c>
      <c r="L15" s="29">
        <f t="shared" si="1"/>
        <v>0</v>
      </c>
      <c r="M15" s="29">
        <f t="shared" si="1"/>
        <v>0</v>
      </c>
      <c r="N15" s="29">
        <f t="shared" si="1"/>
        <v>0</v>
      </c>
      <c r="O15" s="29">
        <f t="shared" si="1"/>
        <v>0</v>
      </c>
      <c r="P15" s="29">
        <f t="shared" si="1"/>
        <v>0</v>
      </c>
      <c r="Q15" s="29">
        <f t="shared" si="1"/>
        <v>0</v>
      </c>
      <c r="R15" s="29">
        <f t="shared" si="1"/>
        <v>0</v>
      </c>
      <c r="S15" s="18"/>
      <c r="T15" s="18"/>
      <c r="U15" s="18"/>
      <c r="V15" s="18"/>
      <c r="W15" s="18"/>
    </row>
    <row r="16" spans="1:23" s="10" customFormat="1" hidden="1">
      <c r="A16" s="87"/>
      <c r="B16" s="18"/>
      <c r="C16" s="18"/>
      <c r="D16" s="18"/>
      <c r="E16" s="18"/>
      <c r="F16" s="18"/>
      <c r="G16" s="18"/>
      <c r="H16" s="29">
        <f t="shared" ref="H16:R16" si="2">+H10+H15</f>
        <v>0</v>
      </c>
      <c r="I16" s="29">
        <f t="shared" si="2"/>
        <v>0</v>
      </c>
      <c r="J16" s="29">
        <f t="shared" si="2"/>
        <v>0</v>
      </c>
      <c r="K16" s="29">
        <f t="shared" si="2"/>
        <v>0</v>
      </c>
      <c r="L16" s="29">
        <f t="shared" si="2"/>
        <v>0</v>
      </c>
      <c r="M16" s="29">
        <f t="shared" si="2"/>
        <v>0</v>
      </c>
      <c r="N16" s="29">
        <f t="shared" si="2"/>
        <v>0</v>
      </c>
      <c r="O16" s="29">
        <f t="shared" si="2"/>
        <v>0</v>
      </c>
      <c r="P16" s="29">
        <f t="shared" si="2"/>
        <v>0</v>
      </c>
      <c r="Q16" s="29">
        <f t="shared" si="2"/>
        <v>0</v>
      </c>
      <c r="R16" s="29">
        <f t="shared" si="2"/>
        <v>0</v>
      </c>
      <c r="S16" s="18"/>
      <c r="T16" s="18"/>
      <c r="U16" s="18"/>
      <c r="V16" s="18"/>
      <c r="W16" s="18"/>
    </row>
    <row r="17" spans="1:23" hidden="1"/>
    <row r="18" spans="1:23" hidden="1"/>
    <row r="19" spans="1:23" hidden="1">
      <c r="A19" s="84" t="s">
        <v>18</v>
      </c>
      <c r="B19" s="7"/>
      <c r="C19" s="7"/>
      <c r="D19" s="7"/>
      <c r="E19" s="6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85" t="s">
        <v>247</v>
      </c>
      <c r="R19" s="85"/>
      <c r="S19" s="85"/>
      <c r="T19" s="7"/>
      <c r="U19" s="11"/>
      <c r="V19" s="11"/>
      <c r="W19" s="11"/>
    </row>
    <row r="20" spans="1:23" ht="56.25" hidden="1">
      <c r="A20" s="114" t="s">
        <v>248</v>
      </c>
      <c r="B20" s="114" t="s">
        <v>249</v>
      </c>
      <c r="C20" s="114" t="s">
        <v>271</v>
      </c>
      <c r="D20" s="114" t="s">
        <v>250</v>
      </c>
      <c r="E20" s="114" t="s">
        <v>251</v>
      </c>
      <c r="F20" s="114" t="s">
        <v>252</v>
      </c>
      <c r="G20" s="114" t="s">
        <v>253</v>
      </c>
      <c r="H20" s="114" t="s">
        <v>254</v>
      </c>
      <c r="I20" s="114" t="s">
        <v>255</v>
      </c>
      <c r="J20" s="114" t="s">
        <v>256</v>
      </c>
      <c r="K20" s="114" t="s">
        <v>257</v>
      </c>
      <c r="L20" s="114" t="s">
        <v>258</v>
      </c>
      <c r="M20" s="114" t="s">
        <v>259</v>
      </c>
      <c r="N20" s="114" t="s">
        <v>260</v>
      </c>
      <c r="O20" s="114" t="s">
        <v>261</v>
      </c>
      <c r="P20" s="114" t="s">
        <v>262</v>
      </c>
      <c r="Q20" s="115" t="s">
        <v>263</v>
      </c>
      <c r="R20" s="111" t="s">
        <v>264</v>
      </c>
      <c r="S20" s="114" t="s">
        <v>265</v>
      </c>
      <c r="T20" s="114" t="s">
        <v>266</v>
      </c>
      <c r="U20" s="116" t="s">
        <v>267</v>
      </c>
      <c r="V20" s="116" t="s">
        <v>268</v>
      </c>
      <c r="W20" s="116" t="s">
        <v>101</v>
      </c>
    </row>
    <row r="21" spans="1:23" hidden="1">
      <c r="A21" s="32" t="s">
        <v>269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</row>
    <row r="22" spans="1:23" hidden="1">
      <c r="A22" s="4"/>
      <c r="B22" s="4"/>
      <c r="C22" s="4"/>
      <c r="D22" s="4"/>
      <c r="E22" s="4"/>
      <c r="F22" s="4"/>
      <c r="G22" s="58"/>
      <c r="H22" s="4"/>
      <c r="I22" s="4"/>
      <c r="J22" s="4"/>
      <c r="K22" s="4"/>
      <c r="L22" s="4"/>
      <c r="M22" s="9">
        <f>+P7</f>
        <v>0</v>
      </c>
      <c r="N22" s="4"/>
      <c r="O22" s="4"/>
      <c r="P22" s="9">
        <f>+M22+N22-O22</f>
        <v>0</v>
      </c>
      <c r="Q22" s="4"/>
      <c r="R22" s="4"/>
      <c r="S22" s="4"/>
      <c r="T22" s="4"/>
      <c r="U22" s="4"/>
      <c r="V22" s="4"/>
      <c r="W22" s="4"/>
    </row>
    <row r="23" spans="1:23" hidden="1">
      <c r="A23" s="4"/>
      <c r="B23" s="4"/>
      <c r="C23" s="4"/>
      <c r="D23" s="4"/>
      <c r="E23" s="4"/>
      <c r="F23" s="4"/>
      <c r="G23" s="58"/>
      <c r="H23" s="4"/>
      <c r="I23" s="4"/>
      <c r="J23" s="4"/>
      <c r="K23" s="4"/>
      <c r="L23" s="4"/>
      <c r="M23" s="9">
        <f>+P8</f>
        <v>0</v>
      </c>
      <c r="N23" s="4"/>
      <c r="O23" s="4"/>
      <c r="P23" s="9">
        <f>+M23+N23-O23</f>
        <v>0</v>
      </c>
      <c r="Q23" s="4"/>
      <c r="R23" s="4"/>
      <c r="S23" s="4"/>
      <c r="T23" s="4"/>
      <c r="U23" s="4"/>
      <c r="V23" s="4"/>
      <c r="W23" s="4"/>
    </row>
    <row r="24" spans="1:23" hidden="1">
      <c r="A24" s="4"/>
      <c r="B24" s="4"/>
      <c r="C24" s="4"/>
      <c r="D24" s="4"/>
      <c r="E24" s="4"/>
      <c r="F24" s="4"/>
      <c r="G24" s="58"/>
      <c r="H24" s="4"/>
      <c r="I24" s="4"/>
      <c r="J24" s="4"/>
      <c r="K24" s="4"/>
      <c r="L24" s="4"/>
      <c r="M24" s="9">
        <f>+P9</f>
        <v>0</v>
      </c>
      <c r="N24" s="4"/>
      <c r="O24" s="4"/>
      <c r="P24" s="9">
        <f>+M24+N24-O24</f>
        <v>0</v>
      </c>
      <c r="Q24" s="4"/>
      <c r="R24" s="4"/>
      <c r="S24" s="4"/>
      <c r="T24" s="4"/>
      <c r="U24" s="4"/>
      <c r="V24" s="4"/>
      <c r="W24" s="4"/>
    </row>
    <row r="25" spans="1:23" hidden="1">
      <c r="A25" s="23"/>
      <c r="B25" s="9"/>
      <c r="C25" s="4"/>
      <c r="D25" s="4"/>
      <c r="E25" s="4"/>
      <c r="F25" s="4"/>
      <c r="G25" s="4"/>
      <c r="H25" s="29">
        <f t="shared" ref="H25:R25" si="3">SUM(H22:H24)</f>
        <v>0</v>
      </c>
      <c r="I25" s="29">
        <f t="shared" si="3"/>
        <v>0</v>
      </c>
      <c r="J25" s="29">
        <f t="shared" si="3"/>
        <v>0</v>
      </c>
      <c r="K25" s="29">
        <f t="shared" si="3"/>
        <v>0</v>
      </c>
      <c r="L25" s="29">
        <f t="shared" si="3"/>
        <v>0</v>
      </c>
      <c r="M25" s="29">
        <f t="shared" si="3"/>
        <v>0</v>
      </c>
      <c r="N25" s="29">
        <f t="shared" si="3"/>
        <v>0</v>
      </c>
      <c r="O25" s="29">
        <f t="shared" si="3"/>
        <v>0</v>
      </c>
      <c r="P25" s="29">
        <f t="shared" si="3"/>
        <v>0</v>
      </c>
      <c r="Q25" s="29">
        <f t="shared" si="3"/>
        <v>0</v>
      </c>
      <c r="R25" s="29">
        <f t="shared" si="3"/>
        <v>0</v>
      </c>
      <c r="S25" s="4"/>
      <c r="T25" s="4"/>
      <c r="U25" s="4"/>
      <c r="V25" s="4"/>
      <c r="W25" s="4"/>
    </row>
    <row r="26" spans="1:23" hidden="1">
      <c r="A26" s="32" t="s">
        <v>270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</row>
    <row r="27" spans="1:23" hidden="1">
      <c r="A27" s="4"/>
      <c r="B27" s="4"/>
      <c r="C27" s="4"/>
      <c r="D27" s="4"/>
      <c r="E27" s="4"/>
      <c r="F27" s="4"/>
      <c r="G27" s="58"/>
      <c r="H27" s="4"/>
      <c r="I27" s="4"/>
      <c r="J27" s="4"/>
      <c r="K27" s="4"/>
      <c r="L27" s="4"/>
      <c r="M27" s="9">
        <f>+P12</f>
        <v>0</v>
      </c>
      <c r="N27" s="4"/>
      <c r="O27" s="4"/>
      <c r="P27" s="9">
        <f>+M27+N27-O27</f>
        <v>0</v>
      </c>
      <c r="Q27" s="4"/>
      <c r="R27" s="4"/>
      <c r="S27" s="4"/>
      <c r="T27" s="4"/>
      <c r="U27" s="4"/>
      <c r="V27" s="4"/>
      <c r="W27" s="4"/>
    </row>
    <row r="28" spans="1:23" hidden="1">
      <c r="A28" s="4"/>
      <c r="B28" s="4"/>
      <c r="C28" s="4"/>
      <c r="D28" s="4"/>
      <c r="E28" s="4"/>
      <c r="F28" s="4"/>
      <c r="G28" s="58"/>
      <c r="H28" s="4"/>
      <c r="I28" s="4"/>
      <c r="J28" s="4"/>
      <c r="K28" s="4"/>
      <c r="L28" s="4"/>
      <c r="M28" s="9">
        <f>+P13</f>
        <v>0</v>
      </c>
      <c r="N28" s="4"/>
      <c r="O28" s="4"/>
      <c r="P28" s="9">
        <f>+M28+N28-O28</f>
        <v>0</v>
      </c>
      <c r="Q28" s="4"/>
      <c r="R28" s="4"/>
      <c r="S28" s="4"/>
      <c r="T28" s="4"/>
      <c r="U28" s="4"/>
      <c r="V28" s="4"/>
      <c r="W28" s="4"/>
    </row>
    <row r="29" spans="1:23" hidden="1">
      <c r="A29" s="4"/>
      <c r="B29" s="4"/>
      <c r="C29" s="4"/>
      <c r="D29" s="4"/>
      <c r="E29" s="4"/>
      <c r="F29" s="4"/>
      <c r="G29" s="58"/>
      <c r="H29" s="4"/>
      <c r="I29" s="4"/>
      <c r="J29" s="4"/>
      <c r="K29" s="4"/>
      <c r="L29" s="4"/>
      <c r="M29" s="9">
        <f>+P14</f>
        <v>0</v>
      </c>
      <c r="N29" s="4"/>
      <c r="O29" s="4"/>
      <c r="P29" s="9">
        <f>+M29+N29-O29</f>
        <v>0</v>
      </c>
      <c r="Q29" s="4"/>
      <c r="R29" s="4"/>
      <c r="S29" s="4"/>
      <c r="T29" s="4"/>
      <c r="U29" s="4"/>
      <c r="V29" s="4"/>
      <c r="W29" s="4"/>
    </row>
    <row r="30" spans="1:23" hidden="1">
      <c r="A30" s="23"/>
      <c r="B30" s="18"/>
      <c r="C30" s="18"/>
      <c r="D30" s="18"/>
      <c r="E30" s="18"/>
      <c r="F30" s="18"/>
      <c r="G30" s="18"/>
      <c r="H30" s="29">
        <f t="shared" ref="H30:R30" si="4">SUM(H27:H29)</f>
        <v>0</v>
      </c>
      <c r="I30" s="29">
        <f t="shared" si="4"/>
        <v>0</v>
      </c>
      <c r="J30" s="29">
        <f t="shared" si="4"/>
        <v>0</v>
      </c>
      <c r="K30" s="29">
        <f t="shared" si="4"/>
        <v>0</v>
      </c>
      <c r="L30" s="29">
        <f t="shared" si="4"/>
        <v>0</v>
      </c>
      <c r="M30" s="29">
        <f t="shared" si="4"/>
        <v>0</v>
      </c>
      <c r="N30" s="29">
        <f t="shared" si="4"/>
        <v>0</v>
      </c>
      <c r="O30" s="29">
        <f t="shared" si="4"/>
        <v>0</v>
      </c>
      <c r="P30" s="29">
        <f t="shared" si="4"/>
        <v>0</v>
      </c>
      <c r="Q30" s="29">
        <f t="shared" si="4"/>
        <v>0</v>
      </c>
      <c r="R30" s="29">
        <f t="shared" si="4"/>
        <v>0</v>
      </c>
      <c r="S30" s="18"/>
      <c r="T30" s="18"/>
      <c r="U30" s="18"/>
      <c r="V30" s="18"/>
      <c r="W30" s="18"/>
    </row>
    <row r="31" spans="1:23" hidden="1">
      <c r="A31" s="87"/>
      <c r="B31" s="18"/>
      <c r="C31" s="18"/>
      <c r="D31" s="18"/>
      <c r="E31" s="18"/>
      <c r="F31" s="18"/>
      <c r="G31" s="18"/>
      <c r="H31" s="29">
        <f t="shared" ref="H31:R31" si="5">+H25+H30</f>
        <v>0</v>
      </c>
      <c r="I31" s="29">
        <f t="shared" si="5"/>
        <v>0</v>
      </c>
      <c r="J31" s="29">
        <f t="shared" si="5"/>
        <v>0</v>
      </c>
      <c r="K31" s="29">
        <f t="shared" si="5"/>
        <v>0</v>
      </c>
      <c r="L31" s="29">
        <f t="shared" si="5"/>
        <v>0</v>
      </c>
      <c r="M31" s="29">
        <f t="shared" si="5"/>
        <v>0</v>
      </c>
      <c r="N31" s="29">
        <f t="shared" si="5"/>
        <v>0</v>
      </c>
      <c r="O31" s="29">
        <f t="shared" si="5"/>
        <v>0</v>
      </c>
      <c r="P31" s="29">
        <f t="shared" si="5"/>
        <v>0</v>
      </c>
      <c r="Q31" s="29">
        <f t="shared" si="5"/>
        <v>0</v>
      </c>
      <c r="R31" s="29">
        <f t="shared" si="5"/>
        <v>0</v>
      </c>
      <c r="S31" s="18"/>
      <c r="T31" s="18"/>
      <c r="U31" s="18"/>
      <c r="V31" s="18"/>
      <c r="W31" s="18"/>
    </row>
    <row r="32" spans="1:23" hidden="1"/>
    <row r="33" spans="1:23" hidden="1"/>
    <row r="34" spans="1:23" hidden="1">
      <c r="A34" s="84" t="s">
        <v>19</v>
      </c>
      <c r="B34" s="7"/>
      <c r="C34" s="7"/>
      <c r="D34" s="7"/>
      <c r="E34" s="6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85" t="s">
        <v>247</v>
      </c>
      <c r="R34" s="85"/>
      <c r="S34" s="85"/>
      <c r="T34" s="7"/>
      <c r="U34" s="11"/>
      <c r="V34" s="11"/>
      <c r="W34" s="11"/>
    </row>
    <row r="35" spans="1:23" ht="56.25" hidden="1">
      <c r="A35" s="114" t="s">
        <v>248</v>
      </c>
      <c r="B35" s="114" t="s">
        <v>249</v>
      </c>
      <c r="C35" s="114" t="s">
        <v>271</v>
      </c>
      <c r="D35" s="114" t="s">
        <v>250</v>
      </c>
      <c r="E35" s="114" t="s">
        <v>251</v>
      </c>
      <c r="F35" s="114" t="s">
        <v>252</v>
      </c>
      <c r="G35" s="114" t="s">
        <v>253</v>
      </c>
      <c r="H35" s="114" t="s">
        <v>254</v>
      </c>
      <c r="I35" s="114" t="s">
        <v>255</v>
      </c>
      <c r="J35" s="114" t="s">
        <v>256</v>
      </c>
      <c r="K35" s="114" t="s">
        <v>257</v>
      </c>
      <c r="L35" s="114" t="s">
        <v>258</v>
      </c>
      <c r="M35" s="114" t="s">
        <v>259</v>
      </c>
      <c r="N35" s="114" t="s">
        <v>260</v>
      </c>
      <c r="O35" s="114" t="s">
        <v>261</v>
      </c>
      <c r="P35" s="114" t="s">
        <v>262</v>
      </c>
      <c r="Q35" s="115" t="s">
        <v>263</v>
      </c>
      <c r="R35" s="111" t="s">
        <v>264</v>
      </c>
      <c r="S35" s="114" t="s">
        <v>265</v>
      </c>
      <c r="T35" s="114" t="s">
        <v>266</v>
      </c>
      <c r="U35" s="116" t="s">
        <v>267</v>
      </c>
      <c r="V35" s="116" t="s">
        <v>268</v>
      </c>
      <c r="W35" s="116" t="s">
        <v>101</v>
      </c>
    </row>
    <row r="36" spans="1:23" hidden="1">
      <c r="A36" s="32" t="s">
        <v>269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</row>
    <row r="37" spans="1:23" hidden="1">
      <c r="A37" s="4"/>
      <c r="B37" s="4"/>
      <c r="C37" s="4"/>
      <c r="D37" s="4"/>
      <c r="E37" s="4"/>
      <c r="F37" s="4"/>
      <c r="G37" s="58"/>
      <c r="H37" s="4"/>
      <c r="I37" s="4"/>
      <c r="J37" s="4"/>
      <c r="K37" s="4"/>
      <c r="L37" s="4"/>
      <c r="M37" s="9">
        <f>+P22</f>
        <v>0</v>
      </c>
      <c r="N37" s="4"/>
      <c r="O37" s="4"/>
      <c r="P37" s="9">
        <f>+M37+N37-O37</f>
        <v>0</v>
      </c>
      <c r="Q37" s="4"/>
      <c r="R37" s="4"/>
      <c r="S37" s="4"/>
      <c r="T37" s="4"/>
      <c r="U37" s="4"/>
      <c r="V37" s="4"/>
      <c r="W37" s="4"/>
    </row>
    <row r="38" spans="1:23" hidden="1">
      <c r="A38" s="4"/>
      <c r="B38" s="4"/>
      <c r="C38" s="4"/>
      <c r="D38" s="4"/>
      <c r="E38" s="4"/>
      <c r="F38" s="4"/>
      <c r="G38" s="58"/>
      <c r="H38" s="4"/>
      <c r="I38" s="4"/>
      <c r="J38" s="4"/>
      <c r="K38" s="4"/>
      <c r="L38" s="4"/>
      <c r="M38" s="9">
        <f>+P23</f>
        <v>0</v>
      </c>
      <c r="N38" s="4"/>
      <c r="O38" s="4"/>
      <c r="P38" s="9">
        <f>+M38+N38-O38</f>
        <v>0</v>
      </c>
      <c r="Q38" s="4"/>
      <c r="R38" s="4"/>
      <c r="S38" s="4"/>
      <c r="T38" s="4"/>
      <c r="U38" s="4"/>
      <c r="V38" s="4"/>
      <c r="W38" s="4"/>
    </row>
    <row r="39" spans="1:23" hidden="1">
      <c r="A39" s="4"/>
      <c r="B39" s="4"/>
      <c r="C39" s="4"/>
      <c r="D39" s="4"/>
      <c r="E39" s="4"/>
      <c r="F39" s="4"/>
      <c r="G39" s="58"/>
      <c r="H39" s="4"/>
      <c r="I39" s="4"/>
      <c r="J39" s="4"/>
      <c r="K39" s="4"/>
      <c r="L39" s="4"/>
      <c r="M39" s="9">
        <f>+P24</f>
        <v>0</v>
      </c>
      <c r="N39" s="4"/>
      <c r="O39" s="4"/>
      <c r="P39" s="9">
        <f>+M39+N39-O39</f>
        <v>0</v>
      </c>
      <c r="Q39" s="4"/>
      <c r="R39" s="4"/>
      <c r="S39" s="4"/>
      <c r="T39" s="4"/>
      <c r="U39" s="4"/>
      <c r="V39" s="4"/>
      <c r="W39" s="4"/>
    </row>
    <row r="40" spans="1:23" hidden="1">
      <c r="A40" s="23"/>
      <c r="B40" s="9"/>
      <c r="C40" s="4"/>
      <c r="D40" s="4"/>
      <c r="E40" s="4"/>
      <c r="F40" s="4"/>
      <c r="G40" s="4"/>
      <c r="H40" s="29">
        <f t="shared" ref="H40:R40" si="6">SUM(H37:H39)</f>
        <v>0</v>
      </c>
      <c r="I40" s="29">
        <f t="shared" si="6"/>
        <v>0</v>
      </c>
      <c r="J40" s="29">
        <f t="shared" si="6"/>
        <v>0</v>
      </c>
      <c r="K40" s="29">
        <f t="shared" si="6"/>
        <v>0</v>
      </c>
      <c r="L40" s="29">
        <f t="shared" si="6"/>
        <v>0</v>
      </c>
      <c r="M40" s="29">
        <f t="shared" si="6"/>
        <v>0</v>
      </c>
      <c r="N40" s="29">
        <f t="shared" si="6"/>
        <v>0</v>
      </c>
      <c r="O40" s="29">
        <f t="shared" si="6"/>
        <v>0</v>
      </c>
      <c r="P40" s="29">
        <f t="shared" si="6"/>
        <v>0</v>
      </c>
      <c r="Q40" s="29">
        <f t="shared" si="6"/>
        <v>0</v>
      </c>
      <c r="R40" s="29">
        <f t="shared" si="6"/>
        <v>0</v>
      </c>
      <c r="S40" s="4"/>
      <c r="T40" s="4"/>
      <c r="U40" s="4"/>
      <c r="V40" s="4"/>
      <c r="W40" s="4"/>
    </row>
    <row r="41" spans="1:23" hidden="1">
      <c r="A41" s="32" t="s">
        <v>270</v>
      </c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</row>
    <row r="42" spans="1:23" hidden="1">
      <c r="A42" s="4"/>
      <c r="B42" s="4"/>
      <c r="C42" s="4"/>
      <c r="D42" s="4"/>
      <c r="E42" s="4"/>
      <c r="F42" s="4"/>
      <c r="G42" s="58"/>
      <c r="H42" s="4"/>
      <c r="I42" s="4"/>
      <c r="J42" s="4"/>
      <c r="K42" s="4"/>
      <c r="L42" s="4"/>
      <c r="M42" s="9">
        <f>+P27</f>
        <v>0</v>
      </c>
      <c r="N42" s="4"/>
      <c r="O42" s="4"/>
      <c r="P42" s="9">
        <f>+M42+N42-O42</f>
        <v>0</v>
      </c>
      <c r="Q42" s="4"/>
      <c r="R42" s="4"/>
      <c r="S42" s="4"/>
      <c r="T42" s="4"/>
      <c r="U42" s="4"/>
      <c r="V42" s="4"/>
      <c r="W42" s="4"/>
    </row>
    <row r="43" spans="1:23" hidden="1">
      <c r="A43" s="4"/>
      <c r="B43" s="4"/>
      <c r="C43" s="4"/>
      <c r="D43" s="4"/>
      <c r="E43" s="4"/>
      <c r="F43" s="4"/>
      <c r="G43" s="58"/>
      <c r="H43" s="4"/>
      <c r="I43" s="4"/>
      <c r="J43" s="4"/>
      <c r="K43" s="4"/>
      <c r="L43" s="4"/>
      <c r="M43" s="9">
        <f>+P28</f>
        <v>0</v>
      </c>
      <c r="N43" s="4"/>
      <c r="O43" s="4"/>
      <c r="P43" s="9">
        <f>+M43+N43-O43</f>
        <v>0</v>
      </c>
      <c r="Q43" s="4"/>
      <c r="R43" s="4"/>
      <c r="S43" s="4"/>
      <c r="T43" s="4"/>
      <c r="U43" s="4"/>
      <c r="V43" s="4"/>
      <c r="W43" s="4"/>
    </row>
    <row r="44" spans="1:23" hidden="1">
      <c r="A44" s="4"/>
      <c r="B44" s="4"/>
      <c r="C44" s="4"/>
      <c r="D44" s="4"/>
      <c r="E44" s="4"/>
      <c r="F44" s="4"/>
      <c r="G44" s="58"/>
      <c r="H44" s="4"/>
      <c r="I44" s="4"/>
      <c r="J44" s="4"/>
      <c r="K44" s="4"/>
      <c r="L44" s="4"/>
      <c r="M44" s="9">
        <f>+P29</f>
        <v>0</v>
      </c>
      <c r="N44" s="4"/>
      <c r="O44" s="4"/>
      <c r="P44" s="9">
        <f>+M44+N44-O44</f>
        <v>0</v>
      </c>
      <c r="Q44" s="4"/>
      <c r="R44" s="4"/>
      <c r="S44" s="4"/>
      <c r="T44" s="4"/>
      <c r="U44" s="4"/>
      <c r="V44" s="4"/>
      <c r="W44" s="4"/>
    </row>
    <row r="45" spans="1:23" hidden="1">
      <c r="A45" s="23"/>
      <c r="B45" s="18"/>
      <c r="C45" s="18"/>
      <c r="D45" s="18"/>
      <c r="E45" s="18"/>
      <c r="F45" s="18"/>
      <c r="G45" s="18"/>
      <c r="H45" s="29">
        <f t="shared" ref="H45:R45" si="7">SUM(H42:H44)</f>
        <v>0</v>
      </c>
      <c r="I45" s="29">
        <f t="shared" si="7"/>
        <v>0</v>
      </c>
      <c r="J45" s="29">
        <f t="shared" si="7"/>
        <v>0</v>
      </c>
      <c r="K45" s="29">
        <f t="shared" si="7"/>
        <v>0</v>
      </c>
      <c r="L45" s="29">
        <f t="shared" si="7"/>
        <v>0</v>
      </c>
      <c r="M45" s="29">
        <f t="shared" si="7"/>
        <v>0</v>
      </c>
      <c r="N45" s="29">
        <f t="shared" si="7"/>
        <v>0</v>
      </c>
      <c r="O45" s="29">
        <f t="shared" si="7"/>
        <v>0</v>
      </c>
      <c r="P45" s="29">
        <f t="shared" si="7"/>
        <v>0</v>
      </c>
      <c r="Q45" s="29">
        <f t="shared" si="7"/>
        <v>0</v>
      </c>
      <c r="R45" s="29">
        <f t="shared" si="7"/>
        <v>0</v>
      </c>
      <c r="S45" s="18"/>
      <c r="T45" s="18"/>
      <c r="U45" s="18"/>
      <c r="V45" s="18"/>
      <c r="W45" s="18"/>
    </row>
    <row r="46" spans="1:23" hidden="1">
      <c r="A46" s="87"/>
      <c r="B46" s="18"/>
      <c r="C46" s="18"/>
      <c r="D46" s="18"/>
      <c r="E46" s="18"/>
      <c r="F46" s="18"/>
      <c r="G46" s="18"/>
      <c r="H46" s="29">
        <f t="shared" ref="H46:R46" si="8">+H40+H45</f>
        <v>0</v>
      </c>
      <c r="I46" s="29">
        <f t="shared" si="8"/>
        <v>0</v>
      </c>
      <c r="J46" s="29">
        <f t="shared" si="8"/>
        <v>0</v>
      </c>
      <c r="K46" s="29">
        <f t="shared" si="8"/>
        <v>0</v>
      </c>
      <c r="L46" s="29">
        <f t="shared" si="8"/>
        <v>0</v>
      </c>
      <c r="M46" s="29">
        <f t="shared" si="8"/>
        <v>0</v>
      </c>
      <c r="N46" s="29">
        <f t="shared" si="8"/>
        <v>0</v>
      </c>
      <c r="O46" s="29">
        <f t="shared" si="8"/>
        <v>0</v>
      </c>
      <c r="P46" s="29">
        <f t="shared" si="8"/>
        <v>0</v>
      </c>
      <c r="Q46" s="29">
        <f t="shared" si="8"/>
        <v>0</v>
      </c>
      <c r="R46" s="29">
        <f t="shared" si="8"/>
        <v>0</v>
      </c>
      <c r="S46" s="18"/>
      <c r="T46" s="18"/>
      <c r="U46" s="18"/>
      <c r="V46" s="18"/>
      <c r="W46" s="18"/>
    </row>
    <row r="47" spans="1:23" hidden="1"/>
    <row r="48" spans="1:23" hidden="1"/>
    <row r="49" spans="1:23" hidden="1">
      <c r="A49" s="84" t="s">
        <v>20</v>
      </c>
      <c r="B49" s="7"/>
      <c r="C49" s="7"/>
      <c r="D49" s="7"/>
      <c r="E49" s="6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85" t="s">
        <v>247</v>
      </c>
      <c r="R49" s="85"/>
      <c r="S49" s="85"/>
      <c r="T49" s="7"/>
      <c r="U49" s="11"/>
      <c r="V49" s="11"/>
      <c r="W49" s="11"/>
    </row>
    <row r="50" spans="1:23" ht="56.25" hidden="1">
      <c r="A50" s="114" t="s">
        <v>248</v>
      </c>
      <c r="B50" s="114" t="s">
        <v>249</v>
      </c>
      <c r="C50" s="114" t="s">
        <v>271</v>
      </c>
      <c r="D50" s="114" t="s">
        <v>250</v>
      </c>
      <c r="E50" s="114" t="s">
        <v>251</v>
      </c>
      <c r="F50" s="114" t="s">
        <v>252</v>
      </c>
      <c r="G50" s="114" t="s">
        <v>253</v>
      </c>
      <c r="H50" s="114" t="s">
        <v>254</v>
      </c>
      <c r="I50" s="114" t="s">
        <v>255</v>
      </c>
      <c r="J50" s="114" t="s">
        <v>256</v>
      </c>
      <c r="K50" s="114" t="s">
        <v>257</v>
      </c>
      <c r="L50" s="114" t="s">
        <v>258</v>
      </c>
      <c r="M50" s="114" t="s">
        <v>259</v>
      </c>
      <c r="N50" s="114" t="s">
        <v>260</v>
      </c>
      <c r="O50" s="114" t="s">
        <v>261</v>
      </c>
      <c r="P50" s="114" t="s">
        <v>262</v>
      </c>
      <c r="Q50" s="115" t="s">
        <v>263</v>
      </c>
      <c r="R50" s="111" t="s">
        <v>264</v>
      </c>
      <c r="S50" s="114" t="s">
        <v>265</v>
      </c>
      <c r="T50" s="114" t="s">
        <v>266</v>
      </c>
      <c r="U50" s="116" t="s">
        <v>267</v>
      </c>
      <c r="V50" s="116" t="s">
        <v>268</v>
      </c>
      <c r="W50" s="116" t="s">
        <v>101</v>
      </c>
    </row>
    <row r="51" spans="1:23" hidden="1">
      <c r="A51" s="32" t="s">
        <v>269</v>
      </c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</row>
    <row r="52" spans="1:23" hidden="1">
      <c r="A52" s="4"/>
      <c r="B52" s="4"/>
      <c r="C52" s="4"/>
      <c r="D52" s="4"/>
      <c r="E52" s="4"/>
      <c r="F52" s="4"/>
      <c r="G52" s="58"/>
      <c r="H52" s="4"/>
      <c r="I52" s="4"/>
      <c r="J52" s="4"/>
      <c r="K52" s="4"/>
      <c r="L52" s="4"/>
      <c r="M52" s="9">
        <f>+P37</f>
        <v>0</v>
      </c>
      <c r="N52" s="4"/>
      <c r="O52" s="4"/>
      <c r="P52" s="9">
        <f>+M52+N52-O52</f>
        <v>0</v>
      </c>
      <c r="Q52" s="4"/>
      <c r="R52" s="4"/>
      <c r="S52" s="4"/>
      <c r="T52" s="4"/>
      <c r="U52" s="4"/>
      <c r="V52" s="4"/>
      <c r="W52" s="4"/>
    </row>
    <row r="53" spans="1:23" hidden="1">
      <c r="A53" s="4"/>
      <c r="B53" s="4"/>
      <c r="C53" s="4"/>
      <c r="D53" s="4"/>
      <c r="E53" s="4"/>
      <c r="F53" s="4"/>
      <c r="G53" s="58"/>
      <c r="H53" s="4"/>
      <c r="I53" s="4"/>
      <c r="J53" s="4"/>
      <c r="K53" s="4"/>
      <c r="L53" s="4"/>
      <c r="M53" s="9">
        <f>+P38</f>
        <v>0</v>
      </c>
      <c r="N53" s="4"/>
      <c r="O53" s="4"/>
      <c r="P53" s="9">
        <f>+M53+N53-O53</f>
        <v>0</v>
      </c>
      <c r="Q53" s="4"/>
      <c r="R53" s="4"/>
      <c r="S53" s="4"/>
      <c r="T53" s="4"/>
      <c r="U53" s="4"/>
      <c r="V53" s="4"/>
      <c r="W53" s="4"/>
    </row>
    <row r="54" spans="1:23" hidden="1">
      <c r="A54" s="4"/>
      <c r="B54" s="4"/>
      <c r="C54" s="4"/>
      <c r="D54" s="4"/>
      <c r="E54" s="4"/>
      <c r="F54" s="4"/>
      <c r="G54" s="58"/>
      <c r="H54" s="4"/>
      <c r="I54" s="4"/>
      <c r="J54" s="4"/>
      <c r="K54" s="4"/>
      <c r="L54" s="4"/>
      <c r="M54" s="9">
        <f>+P39</f>
        <v>0</v>
      </c>
      <c r="N54" s="4"/>
      <c r="O54" s="4"/>
      <c r="P54" s="9">
        <f>+M54+N54-O54</f>
        <v>0</v>
      </c>
      <c r="Q54" s="4"/>
      <c r="R54" s="4"/>
      <c r="S54" s="4"/>
      <c r="T54" s="4"/>
      <c r="U54" s="4"/>
      <c r="V54" s="4"/>
      <c r="W54" s="4"/>
    </row>
    <row r="55" spans="1:23" hidden="1">
      <c r="A55" s="23"/>
      <c r="B55" s="9"/>
      <c r="C55" s="4"/>
      <c r="D55" s="4"/>
      <c r="E55" s="4"/>
      <c r="F55" s="4"/>
      <c r="G55" s="4"/>
      <c r="H55" s="29">
        <f t="shared" ref="H55:R55" si="9">SUM(H52:H54)</f>
        <v>0</v>
      </c>
      <c r="I55" s="29">
        <f t="shared" si="9"/>
        <v>0</v>
      </c>
      <c r="J55" s="29">
        <f t="shared" si="9"/>
        <v>0</v>
      </c>
      <c r="K55" s="29">
        <f t="shared" si="9"/>
        <v>0</v>
      </c>
      <c r="L55" s="29">
        <f t="shared" si="9"/>
        <v>0</v>
      </c>
      <c r="M55" s="29">
        <f t="shared" si="9"/>
        <v>0</v>
      </c>
      <c r="N55" s="29">
        <f t="shared" si="9"/>
        <v>0</v>
      </c>
      <c r="O55" s="29">
        <f t="shared" si="9"/>
        <v>0</v>
      </c>
      <c r="P55" s="29">
        <f t="shared" si="9"/>
        <v>0</v>
      </c>
      <c r="Q55" s="29">
        <f t="shared" si="9"/>
        <v>0</v>
      </c>
      <c r="R55" s="29">
        <f t="shared" si="9"/>
        <v>0</v>
      </c>
      <c r="S55" s="4"/>
      <c r="T55" s="4"/>
      <c r="U55" s="4"/>
      <c r="V55" s="4"/>
      <c r="W55" s="4"/>
    </row>
    <row r="56" spans="1:23" hidden="1">
      <c r="A56" s="32" t="s">
        <v>270</v>
      </c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</row>
    <row r="57" spans="1:23" hidden="1">
      <c r="A57" s="4"/>
      <c r="B57" s="4"/>
      <c r="C57" s="4"/>
      <c r="D57" s="4"/>
      <c r="E57" s="4"/>
      <c r="F57" s="4"/>
      <c r="G57" s="58"/>
      <c r="H57" s="4"/>
      <c r="I57" s="4"/>
      <c r="J57" s="4"/>
      <c r="K57" s="4"/>
      <c r="L57" s="4"/>
      <c r="M57" s="9">
        <f>+P42</f>
        <v>0</v>
      </c>
      <c r="N57" s="4"/>
      <c r="O57" s="4"/>
      <c r="P57" s="9">
        <f>+M57+N57-O57</f>
        <v>0</v>
      </c>
      <c r="Q57" s="4"/>
      <c r="R57" s="4"/>
      <c r="S57" s="4"/>
      <c r="T57" s="4"/>
      <c r="U57" s="4"/>
      <c r="V57" s="4"/>
      <c r="W57" s="4"/>
    </row>
    <row r="58" spans="1:23" hidden="1">
      <c r="A58" s="4"/>
      <c r="B58" s="4"/>
      <c r="C58" s="4"/>
      <c r="D58" s="4"/>
      <c r="E58" s="4"/>
      <c r="F58" s="4"/>
      <c r="G58" s="58"/>
      <c r="H58" s="4"/>
      <c r="I58" s="4"/>
      <c r="J58" s="4"/>
      <c r="K58" s="4"/>
      <c r="L58" s="4"/>
      <c r="M58" s="9">
        <f>+P43</f>
        <v>0</v>
      </c>
      <c r="N58" s="4"/>
      <c r="O58" s="4"/>
      <c r="P58" s="9">
        <f>+M58+N58-O58</f>
        <v>0</v>
      </c>
      <c r="Q58" s="4"/>
      <c r="R58" s="4"/>
      <c r="S58" s="4"/>
      <c r="T58" s="4"/>
      <c r="U58" s="4"/>
      <c r="V58" s="4"/>
      <c r="W58" s="4"/>
    </row>
    <row r="59" spans="1:23" hidden="1">
      <c r="A59" s="4"/>
      <c r="B59" s="4"/>
      <c r="C59" s="4"/>
      <c r="D59" s="4"/>
      <c r="E59" s="4"/>
      <c r="F59" s="4"/>
      <c r="G59" s="58"/>
      <c r="H59" s="4"/>
      <c r="I59" s="4"/>
      <c r="J59" s="4"/>
      <c r="K59" s="4"/>
      <c r="L59" s="4"/>
      <c r="M59" s="9">
        <f>+P44</f>
        <v>0</v>
      </c>
      <c r="N59" s="4"/>
      <c r="O59" s="4"/>
      <c r="P59" s="9">
        <f>+M59+N59-O59</f>
        <v>0</v>
      </c>
      <c r="Q59" s="4"/>
      <c r="R59" s="4"/>
      <c r="S59" s="4"/>
      <c r="T59" s="4"/>
      <c r="U59" s="4"/>
      <c r="V59" s="4"/>
      <c r="W59" s="4"/>
    </row>
    <row r="60" spans="1:23" hidden="1">
      <c r="A60" s="23"/>
      <c r="B60" s="18"/>
      <c r="C60" s="18"/>
      <c r="D60" s="18"/>
      <c r="E60" s="18"/>
      <c r="F60" s="18"/>
      <c r="G60" s="18"/>
      <c r="H60" s="29">
        <f t="shared" ref="H60:R60" si="10">SUM(H57:H59)</f>
        <v>0</v>
      </c>
      <c r="I60" s="29">
        <f t="shared" si="10"/>
        <v>0</v>
      </c>
      <c r="J60" s="29">
        <f t="shared" si="10"/>
        <v>0</v>
      </c>
      <c r="K60" s="29">
        <f t="shared" si="10"/>
        <v>0</v>
      </c>
      <c r="L60" s="29">
        <f t="shared" si="10"/>
        <v>0</v>
      </c>
      <c r="M60" s="29">
        <f t="shared" si="10"/>
        <v>0</v>
      </c>
      <c r="N60" s="29">
        <f t="shared" si="10"/>
        <v>0</v>
      </c>
      <c r="O60" s="29">
        <f t="shared" si="10"/>
        <v>0</v>
      </c>
      <c r="P60" s="29">
        <f t="shared" si="10"/>
        <v>0</v>
      </c>
      <c r="Q60" s="29">
        <f t="shared" si="10"/>
        <v>0</v>
      </c>
      <c r="R60" s="29">
        <f t="shared" si="10"/>
        <v>0</v>
      </c>
      <c r="S60" s="18"/>
      <c r="T60" s="18"/>
      <c r="U60" s="18"/>
      <c r="V60" s="18"/>
      <c r="W60" s="18"/>
    </row>
    <row r="61" spans="1:23" hidden="1">
      <c r="A61" s="87"/>
      <c r="B61" s="18"/>
      <c r="C61" s="18"/>
      <c r="D61" s="18"/>
      <c r="E61" s="18"/>
      <c r="F61" s="18"/>
      <c r="G61" s="18"/>
      <c r="H61" s="29">
        <f t="shared" ref="H61:R61" si="11">+H55+H60</f>
        <v>0</v>
      </c>
      <c r="I61" s="29">
        <f t="shared" si="11"/>
        <v>0</v>
      </c>
      <c r="J61" s="29">
        <f t="shared" si="11"/>
        <v>0</v>
      </c>
      <c r="K61" s="29">
        <f t="shared" si="11"/>
        <v>0</v>
      </c>
      <c r="L61" s="29">
        <f t="shared" si="11"/>
        <v>0</v>
      </c>
      <c r="M61" s="29">
        <f t="shared" si="11"/>
        <v>0</v>
      </c>
      <c r="N61" s="29">
        <f t="shared" si="11"/>
        <v>0</v>
      </c>
      <c r="O61" s="29">
        <f t="shared" si="11"/>
        <v>0</v>
      </c>
      <c r="P61" s="29">
        <f t="shared" si="11"/>
        <v>0</v>
      </c>
      <c r="Q61" s="29">
        <f t="shared" si="11"/>
        <v>0</v>
      </c>
      <c r="R61" s="29">
        <f t="shared" si="11"/>
        <v>0</v>
      </c>
      <c r="S61" s="18"/>
      <c r="T61" s="18"/>
      <c r="U61" s="18"/>
      <c r="V61" s="18"/>
      <c r="W61" s="18"/>
    </row>
    <row r="62" spans="1:23" hidden="1"/>
    <row r="63" spans="1:23" hidden="1"/>
    <row r="64" spans="1:23" hidden="1">
      <c r="A64" s="84" t="s">
        <v>21</v>
      </c>
      <c r="B64" s="7"/>
      <c r="C64" s="7"/>
      <c r="D64" s="7"/>
      <c r="E64" s="6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85" t="s">
        <v>247</v>
      </c>
      <c r="R64" s="85"/>
      <c r="S64" s="85"/>
      <c r="T64" s="7"/>
      <c r="U64" s="11"/>
      <c r="V64" s="11"/>
      <c r="W64" s="11"/>
    </row>
    <row r="65" spans="1:23" ht="56.25" hidden="1">
      <c r="A65" s="114" t="s">
        <v>248</v>
      </c>
      <c r="B65" s="114" t="s">
        <v>249</v>
      </c>
      <c r="C65" s="114" t="s">
        <v>271</v>
      </c>
      <c r="D65" s="114" t="s">
        <v>250</v>
      </c>
      <c r="E65" s="114" t="s">
        <v>251</v>
      </c>
      <c r="F65" s="114" t="s">
        <v>252</v>
      </c>
      <c r="G65" s="114" t="s">
        <v>253</v>
      </c>
      <c r="H65" s="114" t="s">
        <v>254</v>
      </c>
      <c r="I65" s="114" t="s">
        <v>255</v>
      </c>
      <c r="J65" s="114" t="s">
        <v>256</v>
      </c>
      <c r="K65" s="114" t="s">
        <v>257</v>
      </c>
      <c r="L65" s="114" t="s">
        <v>258</v>
      </c>
      <c r="M65" s="114" t="s">
        <v>259</v>
      </c>
      <c r="N65" s="114" t="s">
        <v>260</v>
      </c>
      <c r="O65" s="114" t="s">
        <v>261</v>
      </c>
      <c r="P65" s="114" t="s">
        <v>262</v>
      </c>
      <c r="Q65" s="115" t="s">
        <v>263</v>
      </c>
      <c r="R65" s="111" t="s">
        <v>264</v>
      </c>
      <c r="S65" s="114" t="s">
        <v>265</v>
      </c>
      <c r="T65" s="114" t="s">
        <v>266</v>
      </c>
      <c r="U65" s="116" t="s">
        <v>267</v>
      </c>
      <c r="V65" s="116" t="s">
        <v>268</v>
      </c>
      <c r="W65" s="116" t="s">
        <v>101</v>
      </c>
    </row>
    <row r="66" spans="1:23" hidden="1">
      <c r="A66" s="32" t="s">
        <v>269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</row>
    <row r="67" spans="1:23" hidden="1">
      <c r="A67" s="4"/>
      <c r="B67" s="4"/>
      <c r="C67" s="4"/>
      <c r="D67" s="4"/>
      <c r="E67" s="4"/>
      <c r="F67" s="4"/>
      <c r="G67" s="58"/>
      <c r="H67" s="4"/>
      <c r="I67" s="4"/>
      <c r="J67" s="4"/>
      <c r="K67" s="4"/>
      <c r="L67" s="4"/>
      <c r="M67" s="9">
        <f>+P52</f>
        <v>0</v>
      </c>
      <c r="N67" s="4"/>
      <c r="O67" s="4"/>
      <c r="P67" s="9">
        <f>+M67+N67-O67</f>
        <v>0</v>
      </c>
      <c r="Q67" s="4"/>
      <c r="R67" s="4"/>
      <c r="S67" s="4"/>
      <c r="T67" s="4"/>
      <c r="U67" s="4"/>
      <c r="V67" s="4"/>
      <c r="W67" s="4"/>
    </row>
    <row r="68" spans="1:23" hidden="1">
      <c r="A68" s="4"/>
      <c r="B68" s="4"/>
      <c r="C68" s="4"/>
      <c r="D68" s="4"/>
      <c r="E68" s="4"/>
      <c r="F68" s="4"/>
      <c r="G68" s="58"/>
      <c r="H68" s="4"/>
      <c r="I68" s="4"/>
      <c r="J68" s="4"/>
      <c r="K68" s="4"/>
      <c r="L68" s="4"/>
      <c r="M68" s="9">
        <f>+P53</f>
        <v>0</v>
      </c>
      <c r="N68" s="4"/>
      <c r="O68" s="4"/>
      <c r="P68" s="9">
        <f>+M68+N68-O68</f>
        <v>0</v>
      </c>
      <c r="Q68" s="4"/>
      <c r="R68" s="4"/>
      <c r="S68" s="4"/>
      <c r="T68" s="4"/>
      <c r="U68" s="4"/>
      <c r="V68" s="4"/>
      <c r="W68" s="4"/>
    </row>
    <row r="69" spans="1:23" hidden="1">
      <c r="A69" s="4"/>
      <c r="B69" s="4"/>
      <c r="C69" s="4"/>
      <c r="D69" s="4"/>
      <c r="E69" s="4"/>
      <c r="F69" s="4"/>
      <c r="G69" s="58"/>
      <c r="H69" s="4"/>
      <c r="I69" s="4"/>
      <c r="J69" s="4"/>
      <c r="K69" s="4"/>
      <c r="L69" s="4"/>
      <c r="M69" s="9">
        <f>+P54</f>
        <v>0</v>
      </c>
      <c r="N69" s="4"/>
      <c r="O69" s="4"/>
      <c r="P69" s="9">
        <f>+M69+N69-O69</f>
        <v>0</v>
      </c>
      <c r="Q69" s="4"/>
      <c r="R69" s="4"/>
      <c r="S69" s="4"/>
      <c r="T69" s="4"/>
      <c r="U69" s="4"/>
      <c r="V69" s="4"/>
      <c r="W69" s="4"/>
    </row>
    <row r="70" spans="1:23" hidden="1">
      <c r="A70" s="23"/>
      <c r="B70" s="9"/>
      <c r="C70" s="4"/>
      <c r="D70" s="4"/>
      <c r="E70" s="4"/>
      <c r="F70" s="4"/>
      <c r="G70" s="4"/>
      <c r="H70" s="29">
        <f t="shared" ref="H70:R70" si="12">SUM(H67:H69)</f>
        <v>0</v>
      </c>
      <c r="I70" s="29">
        <f t="shared" si="12"/>
        <v>0</v>
      </c>
      <c r="J70" s="29">
        <f t="shared" si="12"/>
        <v>0</v>
      </c>
      <c r="K70" s="29">
        <f t="shared" si="12"/>
        <v>0</v>
      </c>
      <c r="L70" s="29">
        <f t="shared" si="12"/>
        <v>0</v>
      </c>
      <c r="M70" s="29">
        <f t="shared" si="12"/>
        <v>0</v>
      </c>
      <c r="N70" s="29">
        <f t="shared" si="12"/>
        <v>0</v>
      </c>
      <c r="O70" s="29">
        <f t="shared" si="12"/>
        <v>0</v>
      </c>
      <c r="P70" s="29">
        <f t="shared" si="12"/>
        <v>0</v>
      </c>
      <c r="Q70" s="29">
        <f t="shared" si="12"/>
        <v>0</v>
      </c>
      <c r="R70" s="29">
        <f t="shared" si="12"/>
        <v>0</v>
      </c>
      <c r="S70" s="4"/>
      <c r="T70" s="4"/>
      <c r="U70" s="4"/>
      <c r="V70" s="4"/>
      <c r="W70" s="4"/>
    </row>
    <row r="71" spans="1:23" hidden="1">
      <c r="A71" s="32" t="s">
        <v>270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</row>
    <row r="72" spans="1:23" hidden="1">
      <c r="A72" s="4"/>
      <c r="B72" s="4"/>
      <c r="C72" s="4"/>
      <c r="D72" s="4"/>
      <c r="E72" s="4"/>
      <c r="F72" s="4"/>
      <c r="G72" s="58"/>
      <c r="H72" s="4"/>
      <c r="I72" s="4"/>
      <c r="J72" s="4"/>
      <c r="K72" s="4"/>
      <c r="L72" s="4"/>
      <c r="M72" s="9">
        <f>+P57</f>
        <v>0</v>
      </c>
      <c r="N72" s="4"/>
      <c r="O72" s="4"/>
      <c r="P72" s="9">
        <f>+M72+N72-O72</f>
        <v>0</v>
      </c>
      <c r="Q72" s="4"/>
      <c r="R72" s="4"/>
      <c r="S72" s="4"/>
      <c r="T72" s="4"/>
      <c r="U72" s="4"/>
      <c r="V72" s="4"/>
      <c r="W72" s="4"/>
    </row>
    <row r="73" spans="1:23" hidden="1">
      <c r="A73" s="4"/>
      <c r="B73" s="4"/>
      <c r="C73" s="4"/>
      <c r="D73" s="4"/>
      <c r="E73" s="4"/>
      <c r="F73" s="4"/>
      <c r="G73" s="58"/>
      <c r="H73" s="4"/>
      <c r="I73" s="4"/>
      <c r="J73" s="4"/>
      <c r="K73" s="4"/>
      <c r="L73" s="4"/>
      <c r="M73" s="9">
        <f>+P58</f>
        <v>0</v>
      </c>
      <c r="N73" s="4"/>
      <c r="O73" s="4"/>
      <c r="P73" s="9">
        <f>+M73+N73-O73</f>
        <v>0</v>
      </c>
      <c r="Q73" s="4"/>
      <c r="R73" s="4"/>
      <c r="S73" s="4"/>
      <c r="T73" s="4"/>
      <c r="U73" s="4"/>
      <c r="V73" s="4"/>
      <c r="W73" s="4"/>
    </row>
    <row r="74" spans="1:23" hidden="1">
      <c r="A74" s="4"/>
      <c r="B74" s="4"/>
      <c r="C74" s="4"/>
      <c r="D74" s="4"/>
      <c r="E74" s="4"/>
      <c r="F74" s="4"/>
      <c r="G74" s="58"/>
      <c r="H74" s="4"/>
      <c r="I74" s="4"/>
      <c r="J74" s="4"/>
      <c r="K74" s="4"/>
      <c r="L74" s="4"/>
      <c r="M74" s="9">
        <f>+P59</f>
        <v>0</v>
      </c>
      <c r="N74" s="4"/>
      <c r="O74" s="4"/>
      <c r="P74" s="9">
        <f>+M74+N74-O74</f>
        <v>0</v>
      </c>
      <c r="Q74" s="4"/>
      <c r="R74" s="4"/>
      <c r="S74" s="4"/>
      <c r="T74" s="4"/>
      <c r="U74" s="4"/>
      <c r="V74" s="4"/>
      <c r="W74" s="4"/>
    </row>
    <row r="75" spans="1:23" hidden="1">
      <c r="A75" s="23"/>
      <c r="B75" s="18"/>
      <c r="C75" s="18"/>
      <c r="D75" s="18"/>
      <c r="E75" s="18"/>
      <c r="F75" s="18"/>
      <c r="G75" s="18"/>
      <c r="H75" s="29">
        <f t="shared" ref="H75:R75" si="13">SUM(H72:H74)</f>
        <v>0</v>
      </c>
      <c r="I75" s="29">
        <f t="shared" si="13"/>
        <v>0</v>
      </c>
      <c r="J75" s="29">
        <f t="shared" si="13"/>
        <v>0</v>
      </c>
      <c r="K75" s="29">
        <f t="shared" si="13"/>
        <v>0</v>
      </c>
      <c r="L75" s="29">
        <f t="shared" si="13"/>
        <v>0</v>
      </c>
      <c r="M75" s="29">
        <f t="shared" si="13"/>
        <v>0</v>
      </c>
      <c r="N75" s="29">
        <f t="shared" si="13"/>
        <v>0</v>
      </c>
      <c r="O75" s="29">
        <f t="shared" si="13"/>
        <v>0</v>
      </c>
      <c r="P75" s="29">
        <f t="shared" si="13"/>
        <v>0</v>
      </c>
      <c r="Q75" s="29">
        <f t="shared" si="13"/>
        <v>0</v>
      </c>
      <c r="R75" s="29">
        <f t="shared" si="13"/>
        <v>0</v>
      </c>
      <c r="S75" s="18"/>
      <c r="T75" s="18"/>
      <c r="U75" s="18"/>
      <c r="V75" s="18"/>
      <c r="W75" s="18"/>
    </row>
    <row r="76" spans="1:23" hidden="1">
      <c r="A76" s="87"/>
      <c r="B76" s="18"/>
      <c r="C76" s="18"/>
      <c r="D76" s="18"/>
      <c r="E76" s="18"/>
      <c r="F76" s="18"/>
      <c r="G76" s="18"/>
      <c r="H76" s="29">
        <f t="shared" ref="H76:R76" si="14">+H70+H75</f>
        <v>0</v>
      </c>
      <c r="I76" s="29">
        <f t="shared" si="14"/>
        <v>0</v>
      </c>
      <c r="J76" s="29">
        <f t="shared" si="14"/>
        <v>0</v>
      </c>
      <c r="K76" s="29">
        <f t="shared" si="14"/>
        <v>0</v>
      </c>
      <c r="L76" s="29">
        <f t="shared" si="14"/>
        <v>0</v>
      </c>
      <c r="M76" s="29">
        <f t="shared" si="14"/>
        <v>0</v>
      </c>
      <c r="N76" s="29">
        <f t="shared" si="14"/>
        <v>0</v>
      </c>
      <c r="O76" s="29">
        <f t="shared" si="14"/>
        <v>0</v>
      </c>
      <c r="P76" s="29">
        <f t="shared" si="14"/>
        <v>0</v>
      </c>
      <c r="Q76" s="29">
        <f t="shared" si="14"/>
        <v>0</v>
      </c>
      <c r="R76" s="29">
        <f t="shared" si="14"/>
        <v>0</v>
      </c>
      <c r="S76" s="18"/>
      <c r="T76" s="18"/>
      <c r="U76" s="18"/>
      <c r="V76" s="18"/>
      <c r="W76" s="18"/>
    </row>
    <row r="77" spans="1:23" hidden="1"/>
    <row r="79" spans="1:23">
      <c r="A79" s="84" t="s">
        <v>438</v>
      </c>
      <c r="B79" s="7"/>
      <c r="C79" s="7"/>
      <c r="D79" s="7"/>
      <c r="E79" s="6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85" t="s">
        <v>247</v>
      </c>
      <c r="R79" s="85"/>
      <c r="S79" s="85"/>
      <c r="T79" s="7"/>
      <c r="U79" s="11"/>
      <c r="V79" s="11"/>
      <c r="W79" s="11"/>
    </row>
    <row r="80" spans="1:23" ht="56.25">
      <c r="A80" s="114" t="s">
        <v>248</v>
      </c>
      <c r="B80" s="114" t="s">
        <v>249</v>
      </c>
      <c r="C80" s="114" t="s">
        <v>271</v>
      </c>
      <c r="D80" s="114" t="s">
        <v>250</v>
      </c>
      <c r="E80" s="114" t="s">
        <v>251</v>
      </c>
      <c r="F80" s="114" t="s">
        <v>252</v>
      </c>
      <c r="G80" s="114" t="s">
        <v>253</v>
      </c>
      <c r="H80" s="114" t="s">
        <v>254</v>
      </c>
      <c r="I80" s="114" t="s">
        <v>255</v>
      </c>
      <c r="J80" s="114" t="s">
        <v>256</v>
      </c>
      <c r="K80" s="114" t="s">
        <v>257</v>
      </c>
      <c r="L80" s="114" t="s">
        <v>258</v>
      </c>
      <c r="M80" s="114" t="s">
        <v>259</v>
      </c>
      <c r="N80" s="114" t="s">
        <v>260</v>
      </c>
      <c r="O80" s="114" t="s">
        <v>261</v>
      </c>
      <c r="P80" s="114" t="s">
        <v>262</v>
      </c>
      <c r="Q80" s="115" t="s">
        <v>263</v>
      </c>
      <c r="R80" s="111" t="s">
        <v>264</v>
      </c>
      <c r="S80" s="114" t="s">
        <v>265</v>
      </c>
      <c r="T80" s="114" t="s">
        <v>266</v>
      </c>
      <c r="U80" s="116" t="s">
        <v>267</v>
      </c>
      <c r="V80" s="116" t="s">
        <v>268</v>
      </c>
      <c r="W80" s="116" t="s">
        <v>101</v>
      </c>
    </row>
    <row r="81" spans="1:23">
      <c r="A81" s="32" t="s">
        <v>269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</row>
    <row r="82" spans="1:23">
      <c r="A82" s="4"/>
      <c r="B82" s="4"/>
      <c r="C82" s="4"/>
      <c r="D82" s="4"/>
      <c r="E82" s="4"/>
      <c r="F82" s="4"/>
      <c r="G82" s="58"/>
      <c r="H82" s="4"/>
      <c r="I82" s="4"/>
      <c r="J82" s="4"/>
      <c r="K82" s="4"/>
      <c r="L82" s="4"/>
      <c r="M82" s="9">
        <f>+P67</f>
        <v>0</v>
      </c>
      <c r="N82" s="4"/>
      <c r="O82" s="4"/>
      <c r="P82" s="9">
        <f>+M82+N82-O82</f>
        <v>0</v>
      </c>
      <c r="Q82" s="4"/>
      <c r="R82" s="4"/>
      <c r="S82" s="4"/>
      <c r="T82" s="4"/>
      <c r="U82" s="4"/>
      <c r="V82" s="4"/>
      <c r="W82" s="4"/>
    </row>
    <row r="83" spans="1:23">
      <c r="A83" s="4"/>
      <c r="B83" s="4"/>
      <c r="C83" s="4"/>
      <c r="D83" s="4"/>
      <c r="E83" s="4"/>
      <c r="F83" s="4"/>
      <c r="G83" s="58"/>
      <c r="H83" s="4"/>
      <c r="I83" s="4"/>
      <c r="J83" s="4"/>
      <c r="K83" s="4"/>
      <c r="L83" s="4"/>
      <c r="M83" s="9">
        <f>+P68</f>
        <v>0</v>
      </c>
      <c r="N83" s="4"/>
      <c r="O83" s="4"/>
      <c r="P83" s="9">
        <f>+M83+N83-O83</f>
        <v>0</v>
      </c>
      <c r="Q83" s="4"/>
      <c r="R83" s="4"/>
      <c r="S83" s="4"/>
      <c r="T83" s="4"/>
      <c r="U83" s="4"/>
      <c r="V83" s="4"/>
      <c r="W83" s="4"/>
    </row>
    <row r="84" spans="1:23">
      <c r="A84" s="4"/>
      <c r="B84" s="4"/>
      <c r="C84" s="4"/>
      <c r="D84" s="4"/>
      <c r="E84" s="4"/>
      <c r="F84" s="4"/>
      <c r="G84" s="58"/>
      <c r="H84" s="4"/>
      <c r="I84" s="4"/>
      <c r="J84" s="4"/>
      <c r="K84" s="4"/>
      <c r="L84" s="4"/>
      <c r="M84" s="9">
        <f>+P69</f>
        <v>0</v>
      </c>
      <c r="N84" s="4"/>
      <c r="O84" s="4"/>
      <c r="P84" s="9">
        <f>+M84+N84-O84</f>
        <v>0</v>
      </c>
      <c r="Q84" s="4"/>
      <c r="R84" s="4"/>
      <c r="S84" s="4"/>
      <c r="T84" s="4"/>
      <c r="U84" s="4"/>
      <c r="V84" s="4"/>
      <c r="W84" s="4"/>
    </row>
    <row r="85" spans="1:23">
      <c r="A85" s="23"/>
      <c r="B85" s="9"/>
      <c r="C85" s="4"/>
      <c r="D85" s="4"/>
      <c r="E85" s="4"/>
      <c r="F85" s="4"/>
      <c r="G85" s="4"/>
      <c r="H85" s="29">
        <f t="shared" ref="H85:R85" si="15">SUM(H82:H84)</f>
        <v>0</v>
      </c>
      <c r="I85" s="29">
        <f t="shared" si="15"/>
        <v>0</v>
      </c>
      <c r="J85" s="29">
        <f t="shared" si="15"/>
        <v>0</v>
      </c>
      <c r="K85" s="29">
        <f t="shared" si="15"/>
        <v>0</v>
      </c>
      <c r="L85" s="29">
        <f t="shared" si="15"/>
        <v>0</v>
      </c>
      <c r="M85" s="29">
        <f t="shared" si="15"/>
        <v>0</v>
      </c>
      <c r="N85" s="29">
        <f t="shared" si="15"/>
        <v>0</v>
      </c>
      <c r="O85" s="29">
        <f t="shared" si="15"/>
        <v>0</v>
      </c>
      <c r="P85" s="29">
        <f t="shared" si="15"/>
        <v>0</v>
      </c>
      <c r="Q85" s="29">
        <f t="shared" si="15"/>
        <v>0</v>
      </c>
      <c r="R85" s="29">
        <f t="shared" si="15"/>
        <v>0</v>
      </c>
      <c r="S85" s="4"/>
      <c r="T85" s="4"/>
      <c r="U85" s="4"/>
      <c r="V85" s="4"/>
      <c r="W85" s="4"/>
    </row>
    <row r="86" spans="1:23">
      <c r="A86" s="32" t="s">
        <v>270</v>
      </c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</row>
    <row r="87" spans="1:23">
      <c r="A87" s="4"/>
      <c r="B87" s="4"/>
      <c r="C87" s="4"/>
      <c r="D87" s="4"/>
      <c r="E87" s="4"/>
      <c r="F87" s="4"/>
      <c r="G87" s="58"/>
      <c r="H87" s="4"/>
      <c r="I87" s="4"/>
      <c r="J87" s="4"/>
      <c r="K87" s="4"/>
      <c r="L87" s="4"/>
      <c r="M87" s="9">
        <f>+P72</f>
        <v>0</v>
      </c>
      <c r="N87" s="4"/>
      <c r="O87" s="4"/>
      <c r="P87" s="9">
        <f>+M87+N87-O87</f>
        <v>0</v>
      </c>
      <c r="Q87" s="4"/>
      <c r="R87" s="4"/>
      <c r="S87" s="4"/>
      <c r="T87" s="4"/>
      <c r="U87" s="4"/>
      <c r="V87" s="4"/>
      <c r="W87" s="4"/>
    </row>
    <row r="88" spans="1:23">
      <c r="A88" s="4"/>
      <c r="B88" s="4"/>
      <c r="C88" s="4"/>
      <c r="D88" s="4"/>
      <c r="E88" s="4"/>
      <c r="F88" s="4"/>
      <c r="G88" s="58"/>
      <c r="H88" s="4"/>
      <c r="I88" s="4"/>
      <c r="J88" s="4"/>
      <c r="K88" s="4"/>
      <c r="L88" s="4"/>
      <c r="M88" s="9">
        <f>+P73</f>
        <v>0</v>
      </c>
      <c r="N88" s="4"/>
      <c r="O88" s="4"/>
      <c r="P88" s="9">
        <f>+M88+N88-O88</f>
        <v>0</v>
      </c>
      <c r="Q88" s="4"/>
      <c r="R88" s="4"/>
      <c r="S88" s="4"/>
      <c r="T88" s="4"/>
      <c r="U88" s="4"/>
      <c r="V88" s="4"/>
      <c r="W88" s="4"/>
    </row>
    <row r="89" spans="1:23">
      <c r="A89" s="4"/>
      <c r="B89" s="4"/>
      <c r="C89" s="4"/>
      <c r="D89" s="4"/>
      <c r="E89" s="4"/>
      <c r="F89" s="4"/>
      <c r="G89" s="58"/>
      <c r="H89" s="4"/>
      <c r="I89" s="4"/>
      <c r="J89" s="4"/>
      <c r="K89" s="4"/>
      <c r="L89" s="4"/>
      <c r="M89" s="9">
        <f>+P74</f>
        <v>0</v>
      </c>
      <c r="N89" s="4"/>
      <c r="O89" s="4"/>
      <c r="P89" s="9">
        <f>+M89+N89-O89</f>
        <v>0</v>
      </c>
      <c r="Q89" s="4"/>
      <c r="R89" s="4"/>
      <c r="S89" s="4"/>
      <c r="T89" s="4"/>
      <c r="U89" s="4"/>
      <c r="V89" s="4"/>
      <c r="W89" s="4"/>
    </row>
    <row r="90" spans="1:23">
      <c r="A90" s="23"/>
      <c r="B90" s="18"/>
      <c r="C90" s="18"/>
      <c r="D90" s="18"/>
      <c r="E90" s="18"/>
      <c r="F90" s="18"/>
      <c r="G90" s="18"/>
      <c r="H90" s="29">
        <f t="shared" ref="H90:R90" si="16">SUM(H87:H89)</f>
        <v>0</v>
      </c>
      <c r="I90" s="29">
        <f t="shared" si="16"/>
        <v>0</v>
      </c>
      <c r="J90" s="29">
        <f t="shared" si="16"/>
        <v>0</v>
      </c>
      <c r="K90" s="29">
        <f t="shared" si="16"/>
        <v>0</v>
      </c>
      <c r="L90" s="29">
        <f t="shared" si="16"/>
        <v>0</v>
      </c>
      <c r="M90" s="29">
        <f t="shared" si="16"/>
        <v>0</v>
      </c>
      <c r="N90" s="29">
        <f t="shared" si="16"/>
        <v>0</v>
      </c>
      <c r="O90" s="29">
        <f t="shared" si="16"/>
        <v>0</v>
      </c>
      <c r="P90" s="29">
        <f t="shared" si="16"/>
        <v>0</v>
      </c>
      <c r="Q90" s="29">
        <f t="shared" si="16"/>
        <v>0</v>
      </c>
      <c r="R90" s="29">
        <f t="shared" si="16"/>
        <v>0</v>
      </c>
      <c r="S90" s="18"/>
      <c r="T90" s="18"/>
      <c r="U90" s="18"/>
      <c r="V90" s="18"/>
      <c r="W90" s="18"/>
    </row>
    <row r="91" spans="1:23">
      <c r="A91" s="87"/>
      <c r="B91" s="18"/>
      <c r="C91" s="18"/>
      <c r="D91" s="18"/>
      <c r="E91" s="18"/>
      <c r="F91" s="18"/>
      <c r="G91" s="18"/>
      <c r="H91" s="29">
        <f t="shared" ref="H91:R91" si="17">+H85+H90</f>
        <v>0</v>
      </c>
      <c r="I91" s="29">
        <f t="shared" si="17"/>
        <v>0</v>
      </c>
      <c r="J91" s="29">
        <f t="shared" si="17"/>
        <v>0</v>
      </c>
      <c r="K91" s="29">
        <f t="shared" si="17"/>
        <v>0</v>
      </c>
      <c r="L91" s="29">
        <f t="shared" si="17"/>
        <v>0</v>
      </c>
      <c r="M91" s="29">
        <f t="shared" si="17"/>
        <v>0</v>
      </c>
      <c r="N91" s="29">
        <f t="shared" si="17"/>
        <v>0</v>
      </c>
      <c r="O91" s="29">
        <f t="shared" si="17"/>
        <v>0</v>
      </c>
      <c r="P91" s="29">
        <f t="shared" si="17"/>
        <v>0</v>
      </c>
      <c r="Q91" s="29">
        <f t="shared" si="17"/>
        <v>0</v>
      </c>
      <c r="R91" s="29">
        <f t="shared" si="17"/>
        <v>0</v>
      </c>
      <c r="S91" s="18"/>
      <c r="T91" s="18"/>
      <c r="U91" s="18"/>
      <c r="V91" s="18"/>
      <c r="W91" s="18"/>
    </row>
    <row r="94" spans="1:23">
      <c r="A94" s="84" t="s">
        <v>433</v>
      </c>
      <c r="B94" s="7"/>
      <c r="C94" s="7"/>
      <c r="D94" s="7"/>
      <c r="E94" s="6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85" t="s">
        <v>247</v>
      </c>
      <c r="R94" s="85"/>
      <c r="S94" s="85"/>
      <c r="T94" s="7"/>
      <c r="U94" s="11"/>
      <c r="V94" s="11"/>
      <c r="W94" s="11"/>
    </row>
    <row r="95" spans="1:23" ht="56.25">
      <c r="A95" s="114" t="s">
        <v>248</v>
      </c>
      <c r="B95" s="114" t="s">
        <v>249</v>
      </c>
      <c r="C95" s="114" t="s">
        <v>271</v>
      </c>
      <c r="D95" s="114" t="s">
        <v>250</v>
      </c>
      <c r="E95" s="114" t="s">
        <v>251</v>
      </c>
      <c r="F95" s="114" t="s">
        <v>252</v>
      </c>
      <c r="G95" s="114" t="s">
        <v>253</v>
      </c>
      <c r="H95" s="114" t="s">
        <v>254</v>
      </c>
      <c r="I95" s="114" t="s">
        <v>255</v>
      </c>
      <c r="J95" s="114" t="s">
        <v>256</v>
      </c>
      <c r="K95" s="114" t="s">
        <v>257</v>
      </c>
      <c r="L95" s="114" t="s">
        <v>258</v>
      </c>
      <c r="M95" s="114" t="s">
        <v>259</v>
      </c>
      <c r="N95" s="114" t="s">
        <v>260</v>
      </c>
      <c r="O95" s="114" t="s">
        <v>261</v>
      </c>
      <c r="P95" s="114" t="s">
        <v>262</v>
      </c>
      <c r="Q95" s="115" t="s">
        <v>263</v>
      </c>
      <c r="R95" s="111" t="s">
        <v>264</v>
      </c>
      <c r="S95" s="114" t="s">
        <v>265</v>
      </c>
      <c r="T95" s="114" t="s">
        <v>266</v>
      </c>
      <c r="U95" s="116" t="s">
        <v>267</v>
      </c>
      <c r="V95" s="116" t="s">
        <v>268</v>
      </c>
      <c r="W95" s="116" t="s">
        <v>101</v>
      </c>
    </row>
    <row r="96" spans="1:23">
      <c r="A96" s="32" t="s">
        <v>269</v>
      </c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</row>
    <row r="97" spans="1:23">
      <c r="A97" s="4"/>
      <c r="B97" s="4"/>
      <c r="C97" s="4"/>
      <c r="D97" s="4"/>
      <c r="E97" s="4"/>
      <c r="F97" s="4"/>
      <c r="G97" s="58"/>
      <c r="H97" s="4"/>
      <c r="I97" s="4"/>
      <c r="J97" s="4"/>
      <c r="K97" s="4"/>
      <c r="L97" s="4"/>
      <c r="M97" s="9">
        <f>+P82</f>
        <v>0</v>
      </c>
      <c r="N97" s="4"/>
      <c r="O97" s="4"/>
      <c r="P97" s="9">
        <f>+M97+N97-O97</f>
        <v>0</v>
      </c>
      <c r="Q97" s="4"/>
      <c r="R97" s="4"/>
      <c r="S97" s="4"/>
      <c r="T97" s="4"/>
      <c r="U97" s="4"/>
      <c r="V97" s="4"/>
      <c r="W97" s="4"/>
    </row>
    <row r="98" spans="1:23">
      <c r="A98" s="4"/>
      <c r="B98" s="4"/>
      <c r="C98" s="4"/>
      <c r="D98" s="4"/>
      <c r="E98" s="4"/>
      <c r="F98" s="4"/>
      <c r="G98" s="58"/>
      <c r="H98" s="4"/>
      <c r="I98" s="4"/>
      <c r="J98" s="4"/>
      <c r="K98" s="4"/>
      <c r="L98" s="4"/>
      <c r="M98" s="9">
        <f>+P83</f>
        <v>0</v>
      </c>
      <c r="N98" s="4"/>
      <c r="O98" s="4"/>
      <c r="P98" s="9">
        <f>+M98+N98-O98</f>
        <v>0</v>
      </c>
      <c r="Q98" s="4"/>
      <c r="R98" s="4"/>
      <c r="S98" s="4"/>
      <c r="T98" s="4"/>
      <c r="U98" s="4"/>
      <c r="V98" s="4"/>
      <c r="W98" s="4"/>
    </row>
    <row r="99" spans="1:23">
      <c r="A99" s="4"/>
      <c r="B99" s="4"/>
      <c r="C99" s="4"/>
      <c r="D99" s="4"/>
      <c r="E99" s="4"/>
      <c r="F99" s="4"/>
      <c r="G99" s="58"/>
      <c r="H99" s="4"/>
      <c r="I99" s="4"/>
      <c r="J99" s="4"/>
      <c r="K99" s="4"/>
      <c r="L99" s="4"/>
      <c r="M99" s="9">
        <f>+P84</f>
        <v>0</v>
      </c>
      <c r="N99" s="4"/>
      <c r="O99" s="4"/>
      <c r="P99" s="9">
        <f>+M99+N99-O99</f>
        <v>0</v>
      </c>
      <c r="Q99" s="4"/>
      <c r="R99" s="4"/>
      <c r="S99" s="4"/>
      <c r="T99" s="4"/>
      <c r="U99" s="4"/>
      <c r="V99" s="4"/>
      <c r="W99" s="4"/>
    </row>
    <row r="100" spans="1:23">
      <c r="A100" s="23"/>
      <c r="B100" s="9"/>
      <c r="C100" s="4"/>
      <c r="D100" s="4"/>
      <c r="E100" s="4"/>
      <c r="F100" s="4"/>
      <c r="G100" s="4"/>
      <c r="H100" s="29">
        <f t="shared" ref="H100:R100" si="18">SUM(H97:H99)</f>
        <v>0</v>
      </c>
      <c r="I100" s="29">
        <f t="shared" si="18"/>
        <v>0</v>
      </c>
      <c r="J100" s="29">
        <f t="shared" si="18"/>
        <v>0</v>
      </c>
      <c r="K100" s="29">
        <f t="shared" si="18"/>
        <v>0</v>
      </c>
      <c r="L100" s="29">
        <f t="shared" si="18"/>
        <v>0</v>
      </c>
      <c r="M100" s="29">
        <f t="shared" si="18"/>
        <v>0</v>
      </c>
      <c r="N100" s="29">
        <f t="shared" si="18"/>
        <v>0</v>
      </c>
      <c r="O100" s="29">
        <f t="shared" si="18"/>
        <v>0</v>
      </c>
      <c r="P100" s="29">
        <f t="shared" si="18"/>
        <v>0</v>
      </c>
      <c r="Q100" s="29">
        <f t="shared" si="18"/>
        <v>0</v>
      </c>
      <c r="R100" s="29">
        <f t="shared" si="18"/>
        <v>0</v>
      </c>
      <c r="S100" s="4"/>
      <c r="T100" s="4"/>
      <c r="U100" s="4"/>
      <c r="V100" s="4"/>
      <c r="W100" s="4"/>
    </row>
    <row r="101" spans="1:23">
      <c r="A101" s="32" t="s">
        <v>270</v>
      </c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</row>
    <row r="102" spans="1:23">
      <c r="A102" s="4"/>
      <c r="B102" s="4"/>
      <c r="C102" s="4"/>
      <c r="D102" s="4"/>
      <c r="E102" s="4"/>
      <c r="F102" s="4"/>
      <c r="G102" s="58"/>
      <c r="H102" s="4"/>
      <c r="I102" s="4"/>
      <c r="J102" s="4"/>
      <c r="K102" s="4"/>
      <c r="L102" s="4"/>
      <c r="M102" s="9">
        <f>+P87</f>
        <v>0</v>
      </c>
      <c r="N102" s="4"/>
      <c r="O102" s="4"/>
      <c r="P102" s="9">
        <f>+M102+N102-O102</f>
        <v>0</v>
      </c>
      <c r="Q102" s="4"/>
      <c r="R102" s="4"/>
      <c r="S102" s="4"/>
      <c r="T102" s="4"/>
      <c r="U102" s="4"/>
      <c r="V102" s="4"/>
      <c r="W102" s="4"/>
    </row>
    <row r="103" spans="1:23">
      <c r="A103" s="4"/>
      <c r="B103" s="4"/>
      <c r="C103" s="4"/>
      <c r="D103" s="4"/>
      <c r="E103" s="4"/>
      <c r="F103" s="4"/>
      <c r="G103" s="58"/>
      <c r="H103" s="4"/>
      <c r="I103" s="4"/>
      <c r="J103" s="4"/>
      <c r="K103" s="4"/>
      <c r="L103" s="4"/>
      <c r="M103" s="9">
        <f>+P88</f>
        <v>0</v>
      </c>
      <c r="N103" s="4"/>
      <c r="O103" s="4"/>
      <c r="P103" s="9">
        <f>+M103+N103-O103</f>
        <v>0</v>
      </c>
      <c r="Q103" s="4"/>
      <c r="R103" s="4"/>
      <c r="S103" s="4"/>
      <c r="T103" s="4"/>
      <c r="U103" s="4"/>
      <c r="V103" s="4"/>
      <c r="W103" s="4"/>
    </row>
    <row r="104" spans="1:23">
      <c r="A104" s="4"/>
      <c r="B104" s="4"/>
      <c r="C104" s="4"/>
      <c r="D104" s="4"/>
      <c r="E104" s="4"/>
      <c r="F104" s="4"/>
      <c r="G104" s="58"/>
      <c r="H104" s="4"/>
      <c r="I104" s="4"/>
      <c r="J104" s="4"/>
      <c r="K104" s="4"/>
      <c r="L104" s="4"/>
      <c r="M104" s="9">
        <f>+P89</f>
        <v>0</v>
      </c>
      <c r="N104" s="4"/>
      <c r="O104" s="4"/>
      <c r="P104" s="9">
        <f>+M104+N104-O104</f>
        <v>0</v>
      </c>
      <c r="Q104" s="4"/>
      <c r="R104" s="4"/>
      <c r="S104" s="4"/>
      <c r="T104" s="4"/>
      <c r="U104" s="4"/>
      <c r="V104" s="4"/>
      <c r="W104" s="4"/>
    </row>
    <row r="105" spans="1:23">
      <c r="A105" s="23"/>
      <c r="B105" s="18"/>
      <c r="C105" s="18"/>
      <c r="D105" s="18"/>
      <c r="E105" s="18"/>
      <c r="F105" s="18"/>
      <c r="G105" s="18"/>
      <c r="H105" s="29">
        <f t="shared" ref="H105:R105" si="19">SUM(H102:H104)</f>
        <v>0</v>
      </c>
      <c r="I105" s="29">
        <f t="shared" si="19"/>
        <v>0</v>
      </c>
      <c r="J105" s="29">
        <f t="shared" si="19"/>
        <v>0</v>
      </c>
      <c r="K105" s="29">
        <f t="shared" si="19"/>
        <v>0</v>
      </c>
      <c r="L105" s="29">
        <f t="shared" si="19"/>
        <v>0</v>
      </c>
      <c r="M105" s="29">
        <f t="shared" si="19"/>
        <v>0</v>
      </c>
      <c r="N105" s="29">
        <f t="shared" si="19"/>
        <v>0</v>
      </c>
      <c r="O105" s="29">
        <f t="shared" si="19"/>
        <v>0</v>
      </c>
      <c r="P105" s="29">
        <f t="shared" si="19"/>
        <v>0</v>
      </c>
      <c r="Q105" s="29">
        <f t="shared" si="19"/>
        <v>0</v>
      </c>
      <c r="R105" s="29">
        <f t="shared" si="19"/>
        <v>0</v>
      </c>
      <c r="S105" s="18"/>
      <c r="T105" s="18"/>
      <c r="U105" s="18"/>
      <c r="V105" s="18"/>
      <c r="W105" s="18"/>
    </row>
    <row r="106" spans="1:23">
      <c r="A106" s="87"/>
      <c r="B106" s="18"/>
      <c r="C106" s="18"/>
      <c r="D106" s="18"/>
      <c r="E106" s="18"/>
      <c r="F106" s="18"/>
      <c r="G106" s="18"/>
      <c r="H106" s="29">
        <f t="shared" ref="H106:R106" si="20">+H100+H105</f>
        <v>0</v>
      </c>
      <c r="I106" s="29">
        <f t="shared" si="20"/>
        <v>0</v>
      </c>
      <c r="J106" s="29">
        <f t="shared" si="20"/>
        <v>0</v>
      </c>
      <c r="K106" s="29">
        <f t="shared" si="20"/>
        <v>0</v>
      </c>
      <c r="L106" s="29">
        <f t="shared" si="20"/>
        <v>0</v>
      </c>
      <c r="M106" s="29">
        <f t="shared" si="20"/>
        <v>0</v>
      </c>
      <c r="N106" s="29">
        <f t="shared" si="20"/>
        <v>0</v>
      </c>
      <c r="O106" s="29">
        <f t="shared" si="20"/>
        <v>0</v>
      </c>
      <c r="P106" s="29">
        <f t="shared" si="20"/>
        <v>0</v>
      </c>
      <c r="Q106" s="29">
        <f t="shared" si="20"/>
        <v>0</v>
      </c>
      <c r="R106" s="29">
        <f t="shared" si="20"/>
        <v>0</v>
      </c>
      <c r="S106" s="18"/>
      <c r="T106" s="18"/>
      <c r="U106" s="18"/>
      <c r="V106" s="18"/>
      <c r="W106" s="18"/>
    </row>
    <row r="109" spans="1:23">
      <c r="A109" s="84" t="s">
        <v>434</v>
      </c>
      <c r="B109" s="7"/>
      <c r="C109" s="7"/>
      <c r="D109" s="7"/>
      <c r="E109" s="6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85" t="s">
        <v>247</v>
      </c>
      <c r="R109" s="85"/>
      <c r="S109" s="85"/>
      <c r="T109" s="7"/>
      <c r="U109" s="11"/>
      <c r="V109" s="11"/>
      <c r="W109" s="11"/>
    </row>
    <row r="110" spans="1:23" ht="56.25">
      <c r="A110" s="114" t="s">
        <v>248</v>
      </c>
      <c r="B110" s="114" t="s">
        <v>249</v>
      </c>
      <c r="C110" s="114" t="s">
        <v>271</v>
      </c>
      <c r="D110" s="114" t="s">
        <v>250</v>
      </c>
      <c r="E110" s="114" t="s">
        <v>251</v>
      </c>
      <c r="F110" s="114" t="s">
        <v>252</v>
      </c>
      <c r="G110" s="114" t="s">
        <v>253</v>
      </c>
      <c r="H110" s="114" t="s">
        <v>254</v>
      </c>
      <c r="I110" s="114" t="s">
        <v>255</v>
      </c>
      <c r="J110" s="114" t="s">
        <v>256</v>
      </c>
      <c r="K110" s="114" t="s">
        <v>257</v>
      </c>
      <c r="L110" s="114" t="s">
        <v>258</v>
      </c>
      <c r="M110" s="114" t="s">
        <v>259</v>
      </c>
      <c r="N110" s="114" t="s">
        <v>260</v>
      </c>
      <c r="O110" s="114" t="s">
        <v>261</v>
      </c>
      <c r="P110" s="114" t="s">
        <v>262</v>
      </c>
      <c r="Q110" s="115" t="s">
        <v>263</v>
      </c>
      <c r="R110" s="111" t="s">
        <v>264</v>
      </c>
      <c r="S110" s="114" t="s">
        <v>265</v>
      </c>
      <c r="T110" s="114" t="s">
        <v>266</v>
      </c>
      <c r="U110" s="116" t="s">
        <v>267</v>
      </c>
      <c r="V110" s="116" t="s">
        <v>268</v>
      </c>
      <c r="W110" s="116" t="s">
        <v>101</v>
      </c>
    </row>
    <row r="111" spans="1:23">
      <c r="A111" s="32" t="s">
        <v>269</v>
      </c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</row>
    <row r="112" spans="1:23">
      <c r="A112" s="4"/>
      <c r="B112" s="4"/>
      <c r="C112" s="4"/>
      <c r="D112" s="4"/>
      <c r="E112" s="4"/>
      <c r="F112" s="4"/>
      <c r="G112" s="58"/>
      <c r="H112" s="4"/>
      <c r="I112" s="4"/>
      <c r="J112" s="4"/>
      <c r="K112" s="4"/>
      <c r="L112" s="4"/>
      <c r="M112" s="9">
        <f>+P97</f>
        <v>0</v>
      </c>
      <c r="N112" s="4"/>
      <c r="O112" s="4"/>
      <c r="P112" s="9">
        <f>+M112+N112-O112</f>
        <v>0</v>
      </c>
      <c r="Q112" s="4"/>
      <c r="R112" s="4"/>
      <c r="S112" s="4"/>
      <c r="T112" s="4"/>
      <c r="U112" s="4"/>
      <c r="V112" s="4"/>
      <c r="W112" s="4"/>
    </row>
    <row r="113" spans="1:23">
      <c r="A113" s="4"/>
      <c r="B113" s="4"/>
      <c r="C113" s="4"/>
      <c r="D113" s="4"/>
      <c r="E113" s="4"/>
      <c r="F113" s="4"/>
      <c r="G113" s="58"/>
      <c r="H113" s="4"/>
      <c r="I113" s="4"/>
      <c r="J113" s="4"/>
      <c r="K113" s="4"/>
      <c r="L113" s="4"/>
      <c r="M113" s="9">
        <f>+P98</f>
        <v>0</v>
      </c>
      <c r="N113" s="4"/>
      <c r="O113" s="4"/>
      <c r="P113" s="9">
        <f>+M113+N113-O113</f>
        <v>0</v>
      </c>
      <c r="Q113" s="4"/>
      <c r="R113" s="4"/>
      <c r="S113" s="4"/>
      <c r="T113" s="4"/>
      <c r="U113" s="4"/>
      <c r="V113" s="4"/>
      <c r="W113" s="4"/>
    </row>
    <row r="114" spans="1:23">
      <c r="A114" s="4"/>
      <c r="B114" s="4"/>
      <c r="C114" s="4"/>
      <c r="D114" s="4"/>
      <c r="E114" s="4"/>
      <c r="F114" s="4"/>
      <c r="G114" s="58"/>
      <c r="H114" s="4"/>
      <c r="I114" s="4"/>
      <c r="J114" s="4"/>
      <c r="K114" s="4"/>
      <c r="L114" s="4"/>
      <c r="M114" s="9">
        <f>+P99</f>
        <v>0</v>
      </c>
      <c r="N114" s="4"/>
      <c r="O114" s="4"/>
      <c r="P114" s="9">
        <f>+M114+N114-O114</f>
        <v>0</v>
      </c>
      <c r="Q114" s="4"/>
      <c r="R114" s="4"/>
      <c r="S114" s="4"/>
      <c r="T114" s="4"/>
      <c r="U114" s="4"/>
      <c r="V114" s="4"/>
      <c r="W114" s="4"/>
    </row>
    <row r="115" spans="1:23">
      <c r="A115" s="23"/>
      <c r="B115" s="9"/>
      <c r="C115" s="4"/>
      <c r="D115" s="4"/>
      <c r="E115" s="4"/>
      <c r="F115" s="4"/>
      <c r="G115" s="4"/>
      <c r="H115" s="29">
        <f t="shared" ref="H115:R115" si="21">SUM(H112:H114)</f>
        <v>0</v>
      </c>
      <c r="I115" s="29">
        <f t="shared" si="21"/>
        <v>0</v>
      </c>
      <c r="J115" s="29">
        <f t="shared" si="21"/>
        <v>0</v>
      </c>
      <c r="K115" s="29">
        <f t="shared" si="21"/>
        <v>0</v>
      </c>
      <c r="L115" s="29">
        <f t="shared" si="21"/>
        <v>0</v>
      </c>
      <c r="M115" s="29">
        <f t="shared" si="21"/>
        <v>0</v>
      </c>
      <c r="N115" s="29">
        <f t="shared" si="21"/>
        <v>0</v>
      </c>
      <c r="O115" s="29">
        <f t="shared" si="21"/>
        <v>0</v>
      </c>
      <c r="P115" s="29">
        <f t="shared" si="21"/>
        <v>0</v>
      </c>
      <c r="Q115" s="29">
        <f t="shared" si="21"/>
        <v>0</v>
      </c>
      <c r="R115" s="29">
        <f t="shared" si="21"/>
        <v>0</v>
      </c>
      <c r="S115" s="4"/>
      <c r="T115" s="4"/>
      <c r="U115" s="4"/>
      <c r="V115" s="4"/>
      <c r="W115" s="4"/>
    </row>
    <row r="116" spans="1:23">
      <c r="A116" s="32" t="s">
        <v>270</v>
      </c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</row>
    <row r="117" spans="1:23">
      <c r="A117" s="4"/>
      <c r="B117" s="4"/>
      <c r="C117" s="4"/>
      <c r="D117" s="4"/>
      <c r="E117" s="4"/>
      <c r="F117" s="4"/>
      <c r="G117" s="58"/>
      <c r="H117" s="4"/>
      <c r="I117" s="4"/>
      <c r="J117" s="4"/>
      <c r="K117" s="4"/>
      <c r="L117" s="4"/>
      <c r="M117" s="9">
        <f>+P102</f>
        <v>0</v>
      </c>
      <c r="N117" s="4"/>
      <c r="O117" s="4"/>
      <c r="P117" s="9">
        <f>+M117+N117-O117</f>
        <v>0</v>
      </c>
      <c r="Q117" s="4"/>
      <c r="R117" s="4"/>
      <c r="S117" s="4"/>
      <c r="T117" s="4"/>
      <c r="U117" s="4"/>
      <c r="V117" s="4"/>
      <c r="W117" s="4"/>
    </row>
    <row r="118" spans="1:23">
      <c r="A118" s="4"/>
      <c r="B118" s="4"/>
      <c r="C118" s="4"/>
      <c r="D118" s="4"/>
      <c r="E118" s="4"/>
      <c r="F118" s="4"/>
      <c r="G118" s="58"/>
      <c r="H118" s="4"/>
      <c r="I118" s="4"/>
      <c r="J118" s="4"/>
      <c r="K118" s="4"/>
      <c r="L118" s="4"/>
      <c r="M118" s="9">
        <f>+P103</f>
        <v>0</v>
      </c>
      <c r="N118" s="4"/>
      <c r="O118" s="4"/>
      <c r="P118" s="9">
        <f>+M118+N118-O118</f>
        <v>0</v>
      </c>
      <c r="Q118" s="4"/>
      <c r="R118" s="4"/>
      <c r="S118" s="4"/>
      <c r="T118" s="4"/>
      <c r="U118" s="4"/>
      <c r="V118" s="4"/>
      <c r="W118" s="4"/>
    </row>
    <row r="119" spans="1:23">
      <c r="A119" s="4"/>
      <c r="B119" s="4"/>
      <c r="C119" s="4"/>
      <c r="D119" s="4"/>
      <c r="E119" s="4"/>
      <c r="F119" s="4"/>
      <c r="G119" s="58"/>
      <c r="H119" s="4"/>
      <c r="I119" s="4"/>
      <c r="J119" s="4"/>
      <c r="K119" s="4"/>
      <c r="L119" s="4"/>
      <c r="M119" s="9">
        <f>+P104</f>
        <v>0</v>
      </c>
      <c r="N119" s="4"/>
      <c r="O119" s="4"/>
      <c r="P119" s="9">
        <f>+M119+N119-O119</f>
        <v>0</v>
      </c>
      <c r="Q119" s="4"/>
      <c r="R119" s="4"/>
      <c r="S119" s="4"/>
      <c r="T119" s="4"/>
      <c r="U119" s="4"/>
      <c r="V119" s="4"/>
      <c r="W119" s="4"/>
    </row>
    <row r="120" spans="1:23">
      <c r="A120" s="23"/>
      <c r="B120" s="18"/>
      <c r="C120" s="18"/>
      <c r="D120" s="18"/>
      <c r="E120" s="18"/>
      <c r="F120" s="18"/>
      <c r="G120" s="18"/>
      <c r="H120" s="29">
        <f t="shared" ref="H120:R120" si="22">SUM(H117:H119)</f>
        <v>0</v>
      </c>
      <c r="I120" s="29">
        <f t="shared" si="22"/>
        <v>0</v>
      </c>
      <c r="J120" s="29">
        <f t="shared" si="22"/>
        <v>0</v>
      </c>
      <c r="K120" s="29">
        <f t="shared" si="22"/>
        <v>0</v>
      </c>
      <c r="L120" s="29">
        <f t="shared" si="22"/>
        <v>0</v>
      </c>
      <c r="M120" s="29">
        <f t="shared" si="22"/>
        <v>0</v>
      </c>
      <c r="N120" s="29">
        <f t="shared" si="22"/>
        <v>0</v>
      </c>
      <c r="O120" s="29">
        <f t="shared" si="22"/>
        <v>0</v>
      </c>
      <c r="P120" s="29">
        <f t="shared" si="22"/>
        <v>0</v>
      </c>
      <c r="Q120" s="29">
        <f t="shared" si="22"/>
        <v>0</v>
      </c>
      <c r="R120" s="29">
        <f t="shared" si="22"/>
        <v>0</v>
      </c>
      <c r="S120" s="18"/>
      <c r="T120" s="18"/>
      <c r="U120" s="18"/>
      <c r="V120" s="18"/>
      <c r="W120" s="18"/>
    </row>
    <row r="121" spans="1:23">
      <c r="A121" s="87"/>
      <c r="B121" s="18"/>
      <c r="C121" s="18"/>
      <c r="D121" s="18"/>
      <c r="E121" s="18"/>
      <c r="F121" s="18"/>
      <c r="G121" s="18"/>
      <c r="H121" s="29">
        <f t="shared" ref="H121:R121" si="23">+H115+H120</f>
        <v>0</v>
      </c>
      <c r="I121" s="29">
        <f t="shared" si="23"/>
        <v>0</v>
      </c>
      <c r="J121" s="29">
        <f t="shared" si="23"/>
        <v>0</v>
      </c>
      <c r="K121" s="29">
        <f t="shared" si="23"/>
        <v>0</v>
      </c>
      <c r="L121" s="29">
        <f t="shared" si="23"/>
        <v>0</v>
      </c>
      <c r="M121" s="29">
        <f t="shared" si="23"/>
        <v>0</v>
      </c>
      <c r="N121" s="29">
        <f t="shared" si="23"/>
        <v>0</v>
      </c>
      <c r="O121" s="29">
        <f t="shared" si="23"/>
        <v>0</v>
      </c>
      <c r="P121" s="29">
        <f t="shared" si="23"/>
        <v>0</v>
      </c>
      <c r="Q121" s="29">
        <f t="shared" si="23"/>
        <v>0</v>
      </c>
      <c r="R121" s="29">
        <f t="shared" si="23"/>
        <v>0</v>
      </c>
      <c r="S121" s="18"/>
      <c r="T121" s="18"/>
      <c r="U121" s="18"/>
      <c r="V121" s="18"/>
      <c r="W121" s="18"/>
    </row>
    <row r="124" spans="1:23">
      <c r="A124" s="84" t="s">
        <v>435</v>
      </c>
      <c r="B124" s="7"/>
      <c r="C124" s="7"/>
      <c r="D124" s="7"/>
      <c r="E124" s="6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85" t="s">
        <v>247</v>
      </c>
      <c r="R124" s="85"/>
      <c r="S124" s="85"/>
      <c r="T124" s="7"/>
      <c r="U124" s="11"/>
      <c r="V124" s="11"/>
      <c r="W124" s="11"/>
    </row>
    <row r="125" spans="1:23" ht="56.25">
      <c r="A125" s="114" t="s">
        <v>248</v>
      </c>
      <c r="B125" s="114" t="s">
        <v>249</v>
      </c>
      <c r="C125" s="114" t="s">
        <v>271</v>
      </c>
      <c r="D125" s="114" t="s">
        <v>250</v>
      </c>
      <c r="E125" s="114" t="s">
        <v>251</v>
      </c>
      <c r="F125" s="114" t="s">
        <v>252</v>
      </c>
      <c r="G125" s="114" t="s">
        <v>253</v>
      </c>
      <c r="H125" s="114" t="s">
        <v>254</v>
      </c>
      <c r="I125" s="114" t="s">
        <v>255</v>
      </c>
      <c r="J125" s="114" t="s">
        <v>256</v>
      </c>
      <c r="K125" s="114" t="s">
        <v>257</v>
      </c>
      <c r="L125" s="114" t="s">
        <v>258</v>
      </c>
      <c r="M125" s="114" t="s">
        <v>259</v>
      </c>
      <c r="N125" s="114" t="s">
        <v>260</v>
      </c>
      <c r="O125" s="114" t="s">
        <v>261</v>
      </c>
      <c r="P125" s="114" t="s">
        <v>262</v>
      </c>
      <c r="Q125" s="115" t="s">
        <v>263</v>
      </c>
      <c r="R125" s="111" t="s">
        <v>264</v>
      </c>
      <c r="S125" s="114" t="s">
        <v>265</v>
      </c>
      <c r="T125" s="114" t="s">
        <v>266</v>
      </c>
      <c r="U125" s="116" t="s">
        <v>267</v>
      </c>
      <c r="V125" s="116" t="s">
        <v>268</v>
      </c>
      <c r="W125" s="116" t="s">
        <v>101</v>
      </c>
    </row>
    <row r="126" spans="1:23">
      <c r="A126" s="32" t="s">
        <v>269</v>
      </c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</row>
    <row r="127" spans="1:23">
      <c r="A127" s="4"/>
      <c r="B127" s="4"/>
      <c r="C127" s="4"/>
      <c r="D127" s="4"/>
      <c r="E127" s="4"/>
      <c r="F127" s="4"/>
      <c r="G127" s="58"/>
      <c r="H127" s="4"/>
      <c r="I127" s="4"/>
      <c r="J127" s="4"/>
      <c r="K127" s="4"/>
      <c r="L127" s="4"/>
      <c r="M127" s="9">
        <f>+P112</f>
        <v>0</v>
      </c>
      <c r="N127" s="4"/>
      <c r="O127" s="4"/>
      <c r="P127" s="9">
        <f>+M127+N127-O127</f>
        <v>0</v>
      </c>
      <c r="Q127" s="4"/>
      <c r="R127" s="4"/>
      <c r="S127" s="4"/>
      <c r="T127" s="4"/>
      <c r="U127" s="4"/>
      <c r="V127" s="4"/>
      <c r="W127" s="4"/>
    </row>
    <row r="128" spans="1:23">
      <c r="A128" s="4"/>
      <c r="B128" s="4"/>
      <c r="C128" s="4"/>
      <c r="D128" s="4"/>
      <c r="E128" s="4"/>
      <c r="F128" s="4"/>
      <c r="G128" s="58"/>
      <c r="H128" s="4"/>
      <c r="I128" s="4"/>
      <c r="J128" s="4"/>
      <c r="K128" s="4"/>
      <c r="L128" s="4"/>
      <c r="M128" s="9">
        <f>+P113</f>
        <v>0</v>
      </c>
      <c r="N128" s="4"/>
      <c r="O128" s="4"/>
      <c r="P128" s="9">
        <f>+M128+N128-O128</f>
        <v>0</v>
      </c>
      <c r="Q128" s="4"/>
      <c r="R128" s="4"/>
      <c r="S128" s="4"/>
      <c r="T128" s="4"/>
      <c r="U128" s="4"/>
      <c r="V128" s="4"/>
      <c r="W128" s="4"/>
    </row>
    <row r="129" spans="1:23">
      <c r="A129" s="4"/>
      <c r="B129" s="4"/>
      <c r="C129" s="4"/>
      <c r="D129" s="4"/>
      <c r="E129" s="4"/>
      <c r="F129" s="4"/>
      <c r="G129" s="58"/>
      <c r="H129" s="4"/>
      <c r="I129" s="4"/>
      <c r="J129" s="4"/>
      <c r="K129" s="4"/>
      <c r="L129" s="4"/>
      <c r="M129" s="9">
        <f>+P114</f>
        <v>0</v>
      </c>
      <c r="N129" s="4"/>
      <c r="O129" s="4"/>
      <c r="P129" s="9">
        <f>+M129+N129-O129</f>
        <v>0</v>
      </c>
      <c r="Q129" s="4"/>
      <c r="R129" s="4"/>
      <c r="S129" s="4"/>
      <c r="T129" s="4"/>
      <c r="U129" s="4"/>
      <c r="V129" s="4"/>
      <c r="W129" s="4"/>
    </row>
    <row r="130" spans="1:23">
      <c r="A130" s="23"/>
      <c r="B130" s="9"/>
      <c r="C130" s="4"/>
      <c r="D130" s="4"/>
      <c r="E130" s="4"/>
      <c r="F130" s="4"/>
      <c r="G130" s="4"/>
      <c r="H130" s="29">
        <f t="shared" ref="H130:R130" si="24">SUM(H127:H129)</f>
        <v>0</v>
      </c>
      <c r="I130" s="29">
        <f t="shared" si="24"/>
        <v>0</v>
      </c>
      <c r="J130" s="29">
        <f t="shared" si="24"/>
        <v>0</v>
      </c>
      <c r="K130" s="29">
        <f t="shared" si="24"/>
        <v>0</v>
      </c>
      <c r="L130" s="29">
        <f t="shared" si="24"/>
        <v>0</v>
      </c>
      <c r="M130" s="29">
        <f t="shared" si="24"/>
        <v>0</v>
      </c>
      <c r="N130" s="29">
        <f t="shared" si="24"/>
        <v>0</v>
      </c>
      <c r="O130" s="29">
        <f t="shared" si="24"/>
        <v>0</v>
      </c>
      <c r="P130" s="29">
        <f t="shared" si="24"/>
        <v>0</v>
      </c>
      <c r="Q130" s="29">
        <f t="shared" si="24"/>
        <v>0</v>
      </c>
      <c r="R130" s="29">
        <f t="shared" si="24"/>
        <v>0</v>
      </c>
      <c r="S130" s="4"/>
      <c r="T130" s="4"/>
      <c r="U130" s="4"/>
      <c r="V130" s="4"/>
      <c r="W130" s="4"/>
    </row>
    <row r="131" spans="1:23">
      <c r="A131" s="32" t="s">
        <v>270</v>
      </c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</row>
    <row r="132" spans="1:23">
      <c r="A132" s="4"/>
      <c r="B132" s="4"/>
      <c r="C132" s="4"/>
      <c r="D132" s="4"/>
      <c r="E132" s="4"/>
      <c r="F132" s="4"/>
      <c r="G132" s="58"/>
      <c r="H132" s="4"/>
      <c r="I132" s="4"/>
      <c r="J132" s="4"/>
      <c r="K132" s="4"/>
      <c r="L132" s="4"/>
      <c r="M132" s="9">
        <f>+P117</f>
        <v>0</v>
      </c>
      <c r="N132" s="4"/>
      <c r="O132" s="4"/>
      <c r="P132" s="9">
        <f>+M132+N132-O132</f>
        <v>0</v>
      </c>
      <c r="Q132" s="4"/>
      <c r="R132" s="4"/>
      <c r="S132" s="4"/>
      <c r="T132" s="4"/>
      <c r="U132" s="4"/>
      <c r="V132" s="4"/>
      <c r="W132" s="4"/>
    </row>
    <row r="133" spans="1:23">
      <c r="A133" s="4"/>
      <c r="B133" s="4"/>
      <c r="C133" s="4"/>
      <c r="D133" s="4"/>
      <c r="E133" s="4"/>
      <c r="F133" s="4"/>
      <c r="G133" s="58"/>
      <c r="H133" s="4"/>
      <c r="I133" s="4"/>
      <c r="J133" s="4"/>
      <c r="K133" s="4"/>
      <c r="L133" s="4"/>
      <c r="M133" s="9">
        <f>+P118</f>
        <v>0</v>
      </c>
      <c r="N133" s="4"/>
      <c r="O133" s="4"/>
      <c r="P133" s="9">
        <f>+M133+N133-O133</f>
        <v>0</v>
      </c>
      <c r="Q133" s="4"/>
      <c r="R133" s="4"/>
      <c r="S133" s="4"/>
      <c r="T133" s="4"/>
      <c r="U133" s="4"/>
      <c r="V133" s="4"/>
      <c r="W133" s="4"/>
    </row>
    <row r="134" spans="1:23">
      <c r="A134" s="4"/>
      <c r="B134" s="4"/>
      <c r="C134" s="4"/>
      <c r="D134" s="4"/>
      <c r="E134" s="4"/>
      <c r="F134" s="4"/>
      <c r="G134" s="58"/>
      <c r="H134" s="4"/>
      <c r="I134" s="4"/>
      <c r="J134" s="4"/>
      <c r="K134" s="4"/>
      <c r="L134" s="4"/>
      <c r="M134" s="9">
        <f>+P119</f>
        <v>0</v>
      </c>
      <c r="N134" s="4"/>
      <c r="O134" s="4"/>
      <c r="P134" s="9">
        <f>+M134+N134-O134</f>
        <v>0</v>
      </c>
      <c r="Q134" s="4"/>
      <c r="R134" s="4"/>
      <c r="S134" s="4"/>
      <c r="T134" s="4"/>
      <c r="U134" s="4"/>
      <c r="V134" s="4"/>
      <c r="W134" s="4"/>
    </row>
    <row r="135" spans="1:23">
      <c r="A135" s="23"/>
      <c r="B135" s="18"/>
      <c r="C135" s="18"/>
      <c r="D135" s="18"/>
      <c r="E135" s="18"/>
      <c r="F135" s="18"/>
      <c r="G135" s="18"/>
      <c r="H135" s="29">
        <f t="shared" ref="H135:R135" si="25">SUM(H132:H134)</f>
        <v>0</v>
      </c>
      <c r="I135" s="29">
        <f t="shared" si="25"/>
        <v>0</v>
      </c>
      <c r="J135" s="29">
        <f t="shared" si="25"/>
        <v>0</v>
      </c>
      <c r="K135" s="29">
        <f t="shared" si="25"/>
        <v>0</v>
      </c>
      <c r="L135" s="29">
        <f t="shared" si="25"/>
        <v>0</v>
      </c>
      <c r="M135" s="29">
        <f t="shared" si="25"/>
        <v>0</v>
      </c>
      <c r="N135" s="29">
        <f t="shared" si="25"/>
        <v>0</v>
      </c>
      <c r="O135" s="29">
        <f t="shared" si="25"/>
        <v>0</v>
      </c>
      <c r="P135" s="29">
        <f t="shared" si="25"/>
        <v>0</v>
      </c>
      <c r="Q135" s="29">
        <f t="shared" si="25"/>
        <v>0</v>
      </c>
      <c r="R135" s="29">
        <f t="shared" si="25"/>
        <v>0</v>
      </c>
      <c r="S135" s="18"/>
      <c r="T135" s="18"/>
      <c r="U135" s="18"/>
      <c r="V135" s="18"/>
      <c r="W135" s="18"/>
    </row>
    <row r="136" spans="1:23">
      <c r="A136" s="87"/>
      <c r="B136" s="18"/>
      <c r="C136" s="18"/>
      <c r="D136" s="18"/>
      <c r="E136" s="18"/>
      <c r="F136" s="18"/>
      <c r="G136" s="18"/>
      <c r="H136" s="29">
        <f t="shared" ref="H136:R136" si="26">+H130+H135</f>
        <v>0</v>
      </c>
      <c r="I136" s="29">
        <f t="shared" si="26"/>
        <v>0</v>
      </c>
      <c r="J136" s="29">
        <f t="shared" si="26"/>
        <v>0</v>
      </c>
      <c r="K136" s="29">
        <f t="shared" si="26"/>
        <v>0</v>
      </c>
      <c r="L136" s="29">
        <f t="shared" si="26"/>
        <v>0</v>
      </c>
      <c r="M136" s="29">
        <f t="shared" si="26"/>
        <v>0</v>
      </c>
      <c r="N136" s="29">
        <f t="shared" si="26"/>
        <v>0</v>
      </c>
      <c r="O136" s="29">
        <f t="shared" si="26"/>
        <v>0</v>
      </c>
      <c r="P136" s="29">
        <f t="shared" si="26"/>
        <v>0</v>
      </c>
      <c r="Q136" s="29">
        <f t="shared" si="26"/>
        <v>0</v>
      </c>
      <c r="R136" s="29">
        <f t="shared" si="26"/>
        <v>0</v>
      </c>
      <c r="S136" s="18"/>
      <c r="T136" s="18"/>
      <c r="U136" s="18"/>
      <c r="V136" s="18"/>
      <c r="W136" s="18"/>
    </row>
    <row r="139" spans="1:23">
      <c r="A139" s="84" t="s">
        <v>436</v>
      </c>
      <c r="B139" s="7"/>
      <c r="C139" s="7"/>
      <c r="D139" s="7"/>
      <c r="E139" s="6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85" t="s">
        <v>247</v>
      </c>
      <c r="R139" s="85"/>
      <c r="S139" s="85"/>
      <c r="T139" s="7"/>
      <c r="U139" s="11"/>
      <c r="V139" s="11"/>
      <c r="W139" s="11"/>
    </row>
    <row r="140" spans="1:23" ht="56.25">
      <c r="A140" s="114" t="s">
        <v>248</v>
      </c>
      <c r="B140" s="114" t="s">
        <v>249</v>
      </c>
      <c r="C140" s="114" t="s">
        <v>271</v>
      </c>
      <c r="D140" s="114" t="s">
        <v>250</v>
      </c>
      <c r="E140" s="114" t="s">
        <v>251</v>
      </c>
      <c r="F140" s="114" t="s">
        <v>252</v>
      </c>
      <c r="G140" s="114" t="s">
        <v>253</v>
      </c>
      <c r="H140" s="114" t="s">
        <v>254</v>
      </c>
      <c r="I140" s="114" t="s">
        <v>255</v>
      </c>
      <c r="J140" s="114" t="s">
        <v>256</v>
      </c>
      <c r="K140" s="114" t="s">
        <v>257</v>
      </c>
      <c r="L140" s="114" t="s">
        <v>258</v>
      </c>
      <c r="M140" s="114" t="s">
        <v>259</v>
      </c>
      <c r="N140" s="114" t="s">
        <v>260</v>
      </c>
      <c r="O140" s="114" t="s">
        <v>261</v>
      </c>
      <c r="P140" s="114" t="s">
        <v>262</v>
      </c>
      <c r="Q140" s="115" t="s">
        <v>263</v>
      </c>
      <c r="R140" s="111" t="s">
        <v>264</v>
      </c>
      <c r="S140" s="114" t="s">
        <v>265</v>
      </c>
      <c r="T140" s="114" t="s">
        <v>266</v>
      </c>
      <c r="U140" s="116" t="s">
        <v>267</v>
      </c>
      <c r="V140" s="116" t="s">
        <v>268</v>
      </c>
      <c r="W140" s="116" t="s">
        <v>101</v>
      </c>
    </row>
    <row r="141" spans="1:23">
      <c r="A141" s="32" t="s">
        <v>269</v>
      </c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</row>
    <row r="142" spans="1:23">
      <c r="A142" s="4"/>
      <c r="B142" s="4"/>
      <c r="C142" s="4"/>
      <c r="D142" s="4"/>
      <c r="E142" s="4"/>
      <c r="F142" s="4"/>
      <c r="G142" s="58"/>
      <c r="H142" s="4"/>
      <c r="I142" s="4"/>
      <c r="J142" s="4"/>
      <c r="K142" s="4"/>
      <c r="L142" s="4"/>
      <c r="M142" s="9">
        <f>+P127</f>
        <v>0</v>
      </c>
      <c r="N142" s="4"/>
      <c r="O142" s="4"/>
      <c r="P142" s="9">
        <f>+M142+N142-O142</f>
        <v>0</v>
      </c>
      <c r="Q142" s="4"/>
      <c r="R142" s="4"/>
      <c r="S142" s="4"/>
      <c r="T142" s="4"/>
      <c r="U142" s="4"/>
      <c r="V142" s="4"/>
      <c r="W142" s="4"/>
    </row>
    <row r="143" spans="1:23">
      <c r="A143" s="4"/>
      <c r="B143" s="4"/>
      <c r="C143" s="4"/>
      <c r="D143" s="4"/>
      <c r="E143" s="4"/>
      <c r="F143" s="4"/>
      <c r="G143" s="58"/>
      <c r="H143" s="4"/>
      <c r="I143" s="4"/>
      <c r="J143" s="4"/>
      <c r="K143" s="4"/>
      <c r="L143" s="4"/>
      <c r="M143" s="9">
        <f>+P128</f>
        <v>0</v>
      </c>
      <c r="N143" s="4"/>
      <c r="O143" s="4"/>
      <c r="P143" s="9">
        <f>+M143+N143-O143</f>
        <v>0</v>
      </c>
      <c r="Q143" s="4"/>
      <c r="R143" s="4"/>
      <c r="S143" s="4"/>
      <c r="T143" s="4"/>
      <c r="U143" s="4"/>
      <c r="V143" s="4"/>
      <c r="W143" s="4"/>
    </row>
    <row r="144" spans="1:23">
      <c r="A144" s="4"/>
      <c r="B144" s="4"/>
      <c r="C144" s="4"/>
      <c r="D144" s="4"/>
      <c r="E144" s="4"/>
      <c r="F144" s="4"/>
      <c r="G144" s="58"/>
      <c r="H144" s="4"/>
      <c r="I144" s="4"/>
      <c r="J144" s="4"/>
      <c r="K144" s="4"/>
      <c r="L144" s="4"/>
      <c r="M144" s="9">
        <f>+P129</f>
        <v>0</v>
      </c>
      <c r="N144" s="4"/>
      <c r="O144" s="4"/>
      <c r="P144" s="9">
        <f>+M144+N144-O144</f>
        <v>0</v>
      </c>
      <c r="Q144" s="4"/>
      <c r="R144" s="4"/>
      <c r="S144" s="4"/>
      <c r="T144" s="4"/>
      <c r="U144" s="4"/>
      <c r="V144" s="4"/>
      <c r="W144" s="4"/>
    </row>
    <row r="145" spans="1:23">
      <c r="A145" s="23"/>
      <c r="B145" s="9"/>
      <c r="C145" s="4"/>
      <c r="D145" s="4"/>
      <c r="E145" s="4"/>
      <c r="F145" s="4"/>
      <c r="G145" s="4"/>
      <c r="H145" s="29">
        <f t="shared" ref="H145:R145" si="27">SUM(H142:H144)</f>
        <v>0</v>
      </c>
      <c r="I145" s="29">
        <f t="shared" si="27"/>
        <v>0</v>
      </c>
      <c r="J145" s="29">
        <f t="shared" si="27"/>
        <v>0</v>
      </c>
      <c r="K145" s="29">
        <f t="shared" si="27"/>
        <v>0</v>
      </c>
      <c r="L145" s="29">
        <f t="shared" si="27"/>
        <v>0</v>
      </c>
      <c r="M145" s="29">
        <f t="shared" si="27"/>
        <v>0</v>
      </c>
      <c r="N145" s="29">
        <f t="shared" si="27"/>
        <v>0</v>
      </c>
      <c r="O145" s="29">
        <f t="shared" si="27"/>
        <v>0</v>
      </c>
      <c r="P145" s="29">
        <f t="shared" si="27"/>
        <v>0</v>
      </c>
      <c r="Q145" s="29">
        <f t="shared" si="27"/>
        <v>0</v>
      </c>
      <c r="R145" s="29">
        <f t="shared" si="27"/>
        <v>0</v>
      </c>
      <c r="S145" s="4"/>
      <c r="T145" s="4"/>
      <c r="U145" s="4"/>
      <c r="V145" s="4"/>
      <c r="W145" s="4"/>
    </row>
    <row r="146" spans="1:23">
      <c r="A146" s="32" t="s">
        <v>270</v>
      </c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</row>
    <row r="147" spans="1:23">
      <c r="A147" s="4"/>
      <c r="B147" s="4"/>
      <c r="C147" s="4"/>
      <c r="D147" s="4"/>
      <c r="E147" s="4"/>
      <c r="F147" s="4"/>
      <c r="G147" s="58"/>
      <c r="H147" s="4"/>
      <c r="I147" s="4"/>
      <c r="J147" s="4"/>
      <c r="K147" s="4"/>
      <c r="L147" s="4"/>
      <c r="M147" s="9">
        <f>+P132</f>
        <v>0</v>
      </c>
      <c r="N147" s="4"/>
      <c r="O147" s="4"/>
      <c r="P147" s="9">
        <f>+M147+N147-O147</f>
        <v>0</v>
      </c>
      <c r="Q147" s="4"/>
      <c r="R147" s="4"/>
      <c r="S147" s="4"/>
      <c r="T147" s="4"/>
      <c r="U147" s="4"/>
      <c r="V147" s="4"/>
      <c r="W147" s="4"/>
    </row>
    <row r="148" spans="1:23">
      <c r="A148" s="4"/>
      <c r="B148" s="4"/>
      <c r="C148" s="4"/>
      <c r="D148" s="4"/>
      <c r="E148" s="4"/>
      <c r="F148" s="4"/>
      <c r="G148" s="58"/>
      <c r="H148" s="4"/>
      <c r="I148" s="4"/>
      <c r="J148" s="4"/>
      <c r="K148" s="4"/>
      <c r="L148" s="4"/>
      <c r="M148" s="9">
        <f>+P133</f>
        <v>0</v>
      </c>
      <c r="N148" s="4"/>
      <c r="O148" s="4"/>
      <c r="P148" s="9">
        <f>+M148+N148-O148</f>
        <v>0</v>
      </c>
      <c r="Q148" s="4"/>
      <c r="R148" s="4"/>
      <c r="S148" s="4"/>
      <c r="T148" s="4"/>
      <c r="U148" s="4"/>
      <c r="V148" s="4"/>
      <c r="W148" s="4"/>
    </row>
    <row r="149" spans="1:23">
      <c r="A149" s="4"/>
      <c r="B149" s="4"/>
      <c r="C149" s="4"/>
      <c r="D149" s="4"/>
      <c r="E149" s="4"/>
      <c r="F149" s="4"/>
      <c r="G149" s="58"/>
      <c r="H149" s="4"/>
      <c r="I149" s="4"/>
      <c r="J149" s="4"/>
      <c r="K149" s="4"/>
      <c r="L149" s="4"/>
      <c r="M149" s="9">
        <f>+P134</f>
        <v>0</v>
      </c>
      <c r="N149" s="4"/>
      <c r="O149" s="4"/>
      <c r="P149" s="9">
        <f>+M149+N149-O149</f>
        <v>0</v>
      </c>
      <c r="Q149" s="4"/>
      <c r="R149" s="4"/>
      <c r="S149" s="4"/>
      <c r="T149" s="4"/>
      <c r="U149" s="4"/>
      <c r="V149" s="4"/>
      <c r="W149" s="4"/>
    </row>
    <row r="150" spans="1:23">
      <c r="A150" s="23"/>
      <c r="B150" s="18"/>
      <c r="C150" s="18"/>
      <c r="D150" s="18"/>
      <c r="E150" s="18"/>
      <c r="F150" s="18"/>
      <c r="G150" s="18"/>
      <c r="H150" s="29">
        <f t="shared" ref="H150:R150" si="28">SUM(H147:H149)</f>
        <v>0</v>
      </c>
      <c r="I150" s="29">
        <f t="shared" si="28"/>
        <v>0</v>
      </c>
      <c r="J150" s="29">
        <f t="shared" si="28"/>
        <v>0</v>
      </c>
      <c r="K150" s="29">
        <f t="shared" si="28"/>
        <v>0</v>
      </c>
      <c r="L150" s="29">
        <f t="shared" si="28"/>
        <v>0</v>
      </c>
      <c r="M150" s="29">
        <f t="shared" si="28"/>
        <v>0</v>
      </c>
      <c r="N150" s="29">
        <f t="shared" si="28"/>
        <v>0</v>
      </c>
      <c r="O150" s="29">
        <f t="shared" si="28"/>
        <v>0</v>
      </c>
      <c r="P150" s="29">
        <f t="shared" si="28"/>
        <v>0</v>
      </c>
      <c r="Q150" s="29">
        <f t="shared" si="28"/>
        <v>0</v>
      </c>
      <c r="R150" s="29">
        <f t="shared" si="28"/>
        <v>0</v>
      </c>
      <c r="S150" s="18"/>
      <c r="T150" s="18"/>
      <c r="U150" s="18"/>
      <c r="V150" s="18"/>
      <c r="W150" s="18"/>
    </row>
    <row r="151" spans="1:23">
      <c r="A151" s="87"/>
      <c r="B151" s="18"/>
      <c r="C151" s="18"/>
      <c r="D151" s="18"/>
      <c r="E151" s="18"/>
      <c r="F151" s="18"/>
      <c r="G151" s="18"/>
      <c r="H151" s="29">
        <f t="shared" ref="H151:R151" si="29">+H145+H150</f>
        <v>0</v>
      </c>
      <c r="I151" s="29">
        <f t="shared" si="29"/>
        <v>0</v>
      </c>
      <c r="J151" s="29">
        <f t="shared" si="29"/>
        <v>0</v>
      </c>
      <c r="K151" s="29">
        <f t="shared" si="29"/>
        <v>0</v>
      </c>
      <c r="L151" s="29">
        <f t="shared" si="29"/>
        <v>0</v>
      </c>
      <c r="M151" s="29">
        <f t="shared" si="29"/>
        <v>0</v>
      </c>
      <c r="N151" s="29">
        <f t="shared" si="29"/>
        <v>0</v>
      </c>
      <c r="O151" s="29">
        <f t="shared" si="29"/>
        <v>0</v>
      </c>
      <c r="P151" s="29">
        <f t="shared" si="29"/>
        <v>0</v>
      </c>
      <c r="Q151" s="29">
        <f t="shared" si="29"/>
        <v>0</v>
      </c>
      <c r="R151" s="29">
        <f t="shared" si="29"/>
        <v>0</v>
      </c>
      <c r="S151" s="18"/>
      <c r="T151" s="18"/>
      <c r="U151" s="18"/>
      <c r="V151" s="18"/>
      <c r="W151" s="18"/>
    </row>
    <row r="154" spans="1:23">
      <c r="A154" s="84" t="s">
        <v>437</v>
      </c>
      <c r="B154" s="7"/>
      <c r="C154" s="7"/>
      <c r="D154" s="7"/>
      <c r="E154" s="6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85" t="s">
        <v>247</v>
      </c>
      <c r="R154" s="85"/>
      <c r="S154" s="85"/>
      <c r="T154" s="7"/>
      <c r="U154" s="11"/>
      <c r="V154" s="11"/>
      <c r="W154" s="11"/>
    </row>
    <row r="155" spans="1:23" ht="56.25">
      <c r="A155" s="114" t="s">
        <v>248</v>
      </c>
      <c r="B155" s="114" t="s">
        <v>249</v>
      </c>
      <c r="C155" s="114" t="s">
        <v>271</v>
      </c>
      <c r="D155" s="114" t="s">
        <v>250</v>
      </c>
      <c r="E155" s="114" t="s">
        <v>251</v>
      </c>
      <c r="F155" s="114" t="s">
        <v>252</v>
      </c>
      <c r="G155" s="114" t="s">
        <v>253</v>
      </c>
      <c r="H155" s="114" t="s">
        <v>254</v>
      </c>
      <c r="I155" s="114" t="s">
        <v>255</v>
      </c>
      <c r="J155" s="114" t="s">
        <v>256</v>
      </c>
      <c r="K155" s="114" t="s">
        <v>257</v>
      </c>
      <c r="L155" s="114" t="s">
        <v>258</v>
      </c>
      <c r="M155" s="114" t="s">
        <v>259</v>
      </c>
      <c r="N155" s="114" t="s">
        <v>260</v>
      </c>
      <c r="O155" s="114" t="s">
        <v>261</v>
      </c>
      <c r="P155" s="114" t="s">
        <v>262</v>
      </c>
      <c r="Q155" s="115" t="s">
        <v>263</v>
      </c>
      <c r="R155" s="111" t="s">
        <v>264</v>
      </c>
      <c r="S155" s="114" t="s">
        <v>265</v>
      </c>
      <c r="T155" s="114" t="s">
        <v>266</v>
      </c>
      <c r="U155" s="116" t="s">
        <v>267</v>
      </c>
      <c r="V155" s="116" t="s">
        <v>268</v>
      </c>
      <c r="W155" s="116" t="s">
        <v>101</v>
      </c>
    </row>
    <row r="156" spans="1:23">
      <c r="A156" s="32" t="s">
        <v>269</v>
      </c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</row>
    <row r="157" spans="1:23">
      <c r="A157" s="4"/>
      <c r="B157" s="4"/>
      <c r="C157" s="4"/>
      <c r="D157" s="4"/>
      <c r="E157" s="4"/>
      <c r="F157" s="4"/>
      <c r="G157" s="58"/>
      <c r="H157" s="4"/>
      <c r="I157" s="4"/>
      <c r="J157" s="4"/>
      <c r="K157" s="4"/>
      <c r="L157" s="4"/>
      <c r="M157" s="9">
        <f>+P142</f>
        <v>0</v>
      </c>
      <c r="N157" s="4"/>
      <c r="O157" s="4"/>
      <c r="P157" s="9">
        <f>+M157+N157-O157</f>
        <v>0</v>
      </c>
      <c r="Q157" s="4"/>
      <c r="R157" s="4"/>
      <c r="S157" s="4"/>
      <c r="T157" s="4"/>
      <c r="U157" s="4"/>
      <c r="V157" s="4"/>
      <c r="W157" s="4"/>
    </row>
    <row r="158" spans="1:23">
      <c r="A158" s="4"/>
      <c r="B158" s="4"/>
      <c r="C158" s="4"/>
      <c r="D158" s="4"/>
      <c r="E158" s="4"/>
      <c r="F158" s="4"/>
      <c r="G158" s="58"/>
      <c r="H158" s="4"/>
      <c r="I158" s="4"/>
      <c r="J158" s="4"/>
      <c r="K158" s="4"/>
      <c r="L158" s="4"/>
      <c r="M158" s="9">
        <f>+P143</f>
        <v>0</v>
      </c>
      <c r="N158" s="4"/>
      <c r="O158" s="4"/>
      <c r="P158" s="9">
        <f>+M158+N158-O158</f>
        <v>0</v>
      </c>
      <c r="Q158" s="4"/>
      <c r="R158" s="4"/>
      <c r="S158" s="4"/>
      <c r="T158" s="4"/>
      <c r="U158" s="4"/>
      <c r="V158" s="4"/>
      <c r="W158" s="4"/>
    </row>
    <row r="159" spans="1:23">
      <c r="A159" s="4"/>
      <c r="B159" s="4"/>
      <c r="C159" s="4"/>
      <c r="D159" s="4"/>
      <c r="E159" s="4"/>
      <c r="F159" s="4"/>
      <c r="G159" s="58"/>
      <c r="H159" s="4"/>
      <c r="I159" s="4"/>
      <c r="J159" s="4"/>
      <c r="K159" s="4"/>
      <c r="L159" s="4"/>
      <c r="M159" s="9">
        <f>+P144</f>
        <v>0</v>
      </c>
      <c r="N159" s="4"/>
      <c r="O159" s="4"/>
      <c r="P159" s="9">
        <f>+M159+N159-O159</f>
        <v>0</v>
      </c>
      <c r="Q159" s="4"/>
      <c r="R159" s="4"/>
      <c r="S159" s="4"/>
      <c r="T159" s="4"/>
      <c r="U159" s="4"/>
      <c r="V159" s="4"/>
      <c r="W159" s="4"/>
    </row>
    <row r="160" spans="1:23">
      <c r="A160" s="23"/>
      <c r="B160" s="9"/>
      <c r="C160" s="4"/>
      <c r="D160" s="4"/>
      <c r="E160" s="4"/>
      <c r="F160" s="4"/>
      <c r="G160" s="4"/>
      <c r="H160" s="29">
        <f t="shared" ref="H160:R160" si="30">SUM(H157:H159)</f>
        <v>0</v>
      </c>
      <c r="I160" s="29">
        <f t="shared" si="30"/>
        <v>0</v>
      </c>
      <c r="J160" s="29">
        <f t="shared" si="30"/>
        <v>0</v>
      </c>
      <c r="K160" s="29">
        <f t="shared" si="30"/>
        <v>0</v>
      </c>
      <c r="L160" s="29">
        <f t="shared" si="30"/>
        <v>0</v>
      </c>
      <c r="M160" s="29">
        <f t="shared" si="30"/>
        <v>0</v>
      </c>
      <c r="N160" s="29">
        <f t="shared" si="30"/>
        <v>0</v>
      </c>
      <c r="O160" s="29">
        <f t="shared" si="30"/>
        <v>0</v>
      </c>
      <c r="P160" s="29">
        <f t="shared" si="30"/>
        <v>0</v>
      </c>
      <c r="Q160" s="29">
        <f t="shared" si="30"/>
        <v>0</v>
      </c>
      <c r="R160" s="29">
        <f t="shared" si="30"/>
        <v>0</v>
      </c>
      <c r="S160" s="4"/>
      <c r="T160" s="4"/>
      <c r="U160" s="4"/>
      <c r="V160" s="4"/>
      <c r="W160" s="4"/>
    </row>
    <row r="161" spans="1:23">
      <c r="A161" s="32" t="s">
        <v>270</v>
      </c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</row>
    <row r="162" spans="1:23">
      <c r="A162" s="4"/>
      <c r="B162" s="4"/>
      <c r="C162" s="4"/>
      <c r="D162" s="4"/>
      <c r="E162" s="4"/>
      <c r="F162" s="4"/>
      <c r="G162" s="58"/>
      <c r="H162" s="4"/>
      <c r="I162" s="4"/>
      <c r="J162" s="4"/>
      <c r="K162" s="4"/>
      <c r="L162" s="4"/>
      <c r="M162" s="9">
        <f>+P147</f>
        <v>0</v>
      </c>
      <c r="N162" s="4"/>
      <c r="O162" s="4"/>
      <c r="P162" s="9">
        <f>+M162+N162-O162</f>
        <v>0</v>
      </c>
      <c r="Q162" s="4"/>
      <c r="R162" s="4"/>
      <c r="S162" s="4"/>
      <c r="T162" s="4"/>
      <c r="U162" s="4"/>
      <c r="V162" s="4"/>
      <c r="W162" s="4"/>
    </row>
    <row r="163" spans="1:23">
      <c r="A163" s="4"/>
      <c r="B163" s="4"/>
      <c r="C163" s="4"/>
      <c r="D163" s="4"/>
      <c r="E163" s="4"/>
      <c r="F163" s="4"/>
      <c r="G163" s="58"/>
      <c r="H163" s="4"/>
      <c r="I163" s="4"/>
      <c r="J163" s="4"/>
      <c r="K163" s="4"/>
      <c r="L163" s="4"/>
      <c r="M163" s="9">
        <f>+P148</f>
        <v>0</v>
      </c>
      <c r="N163" s="4"/>
      <c r="O163" s="4"/>
      <c r="P163" s="9">
        <f>+M163+N163-O163</f>
        <v>0</v>
      </c>
      <c r="Q163" s="4"/>
      <c r="R163" s="4"/>
      <c r="S163" s="4"/>
      <c r="T163" s="4"/>
      <c r="U163" s="4"/>
      <c r="V163" s="4"/>
      <c r="W163" s="4"/>
    </row>
    <row r="164" spans="1:23">
      <c r="A164" s="4"/>
      <c r="B164" s="4"/>
      <c r="C164" s="4"/>
      <c r="D164" s="4"/>
      <c r="E164" s="4"/>
      <c r="F164" s="4"/>
      <c r="G164" s="58"/>
      <c r="H164" s="4"/>
      <c r="I164" s="4"/>
      <c r="J164" s="4"/>
      <c r="K164" s="4"/>
      <c r="L164" s="4"/>
      <c r="M164" s="9">
        <f>+P149</f>
        <v>0</v>
      </c>
      <c r="N164" s="4"/>
      <c r="O164" s="4"/>
      <c r="P164" s="9">
        <f>+M164+N164-O164</f>
        <v>0</v>
      </c>
      <c r="Q164" s="4"/>
      <c r="R164" s="4"/>
      <c r="S164" s="4"/>
      <c r="T164" s="4"/>
      <c r="U164" s="4"/>
      <c r="V164" s="4"/>
      <c r="W164" s="4"/>
    </row>
    <row r="165" spans="1:23">
      <c r="A165" s="23"/>
      <c r="B165" s="18"/>
      <c r="C165" s="18"/>
      <c r="D165" s="18"/>
      <c r="E165" s="18"/>
      <c r="F165" s="18"/>
      <c r="G165" s="18"/>
      <c r="H165" s="29">
        <f t="shared" ref="H165:R165" si="31">SUM(H162:H164)</f>
        <v>0</v>
      </c>
      <c r="I165" s="29">
        <f t="shared" si="31"/>
        <v>0</v>
      </c>
      <c r="J165" s="29">
        <f t="shared" si="31"/>
        <v>0</v>
      </c>
      <c r="K165" s="29">
        <f t="shared" si="31"/>
        <v>0</v>
      </c>
      <c r="L165" s="29">
        <f t="shared" si="31"/>
        <v>0</v>
      </c>
      <c r="M165" s="29">
        <f t="shared" si="31"/>
        <v>0</v>
      </c>
      <c r="N165" s="29">
        <f t="shared" si="31"/>
        <v>0</v>
      </c>
      <c r="O165" s="29">
        <f t="shared" si="31"/>
        <v>0</v>
      </c>
      <c r="P165" s="29">
        <f t="shared" si="31"/>
        <v>0</v>
      </c>
      <c r="Q165" s="29">
        <f t="shared" si="31"/>
        <v>0</v>
      </c>
      <c r="R165" s="29">
        <f t="shared" si="31"/>
        <v>0</v>
      </c>
      <c r="S165" s="18"/>
      <c r="T165" s="18"/>
      <c r="U165" s="18"/>
      <c r="V165" s="18"/>
      <c r="W165" s="18"/>
    </row>
    <row r="166" spans="1:23">
      <c r="A166" s="87"/>
      <c r="B166" s="18"/>
      <c r="C166" s="18"/>
      <c r="D166" s="18"/>
      <c r="E166" s="18"/>
      <c r="F166" s="18"/>
      <c r="G166" s="18"/>
      <c r="H166" s="29">
        <f t="shared" ref="H166:R166" si="32">+H160+H165</f>
        <v>0</v>
      </c>
      <c r="I166" s="29">
        <f t="shared" si="32"/>
        <v>0</v>
      </c>
      <c r="J166" s="29">
        <f t="shared" si="32"/>
        <v>0</v>
      </c>
      <c r="K166" s="29">
        <f t="shared" si="32"/>
        <v>0</v>
      </c>
      <c r="L166" s="29">
        <f t="shared" si="32"/>
        <v>0</v>
      </c>
      <c r="M166" s="29">
        <f t="shared" si="32"/>
        <v>0</v>
      </c>
      <c r="N166" s="29">
        <f t="shared" si="32"/>
        <v>0</v>
      </c>
      <c r="O166" s="29">
        <f t="shared" si="32"/>
        <v>0</v>
      </c>
      <c r="P166" s="29">
        <f t="shared" si="32"/>
        <v>0</v>
      </c>
      <c r="Q166" s="29">
        <f t="shared" si="32"/>
        <v>0</v>
      </c>
      <c r="R166" s="29">
        <f t="shared" si="32"/>
        <v>0</v>
      </c>
      <c r="S166" s="18"/>
      <c r="T166" s="18"/>
      <c r="U166" s="18"/>
      <c r="V166" s="18"/>
      <c r="W166" s="18"/>
    </row>
  </sheetData>
  <phoneticPr fontId="3" type="noConversion"/>
  <pageMargins left="0.17" right="0.17" top="1" bottom="1" header="0.5" footer="0.5"/>
  <pageSetup scale="72" orientation="landscape" verticalDpi="4294967295" r:id="rId1"/>
  <headerFooter alignWithMargins="0"/>
  <rowBreaks count="1" manualBreakCount="1">
    <brk id="108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>
  <dimension ref="A1:O34"/>
  <sheetViews>
    <sheetView showGridLines="0" view="pageBreakPreview" zoomScaleSheetLayoutView="100" workbookViewId="0">
      <selection activeCell="C1" sqref="C1:G1048576"/>
    </sheetView>
  </sheetViews>
  <sheetFormatPr defaultRowHeight="12.75"/>
  <cols>
    <col min="1" max="1" width="32.140625" customWidth="1"/>
    <col min="2" max="2" width="6.7109375" customWidth="1"/>
    <col min="3" max="3" width="8" hidden="1" customWidth="1"/>
    <col min="4" max="5" width="7.5703125" hidden="1" customWidth="1"/>
    <col min="6" max="7" width="8" hidden="1" customWidth="1"/>
    <col min="8" max="8" width="11.5703125" customWidth="1"/>
    <col min="9" max="9" width="12.85546875" bestFit="1" customWidth="1"/>
    <col min="10" max="10" width="10.5703125" bestFit="1" customWidth="1"/>
    <col min="11" max="11" width="11.140625" bestFit="1" customWidth="1"/>
    <col min="12" max="12" width="11.28515625" bestFit="1" customWidth="1"/>
    <col min="13" max="13" width="10.85546875" bestFit="1" customWidth="1"/>
    <col min="15" max="15" width="9.28515625" hidden="1" customWidth="1"/>
  </cols>
  <sheetData>
    <row r="1" spans="1:15">
      <c r="A1" s="19" t="s">
        <v>243</v>
      </c>
    </row>
    <row r="2" spans="1:15">
      <c r="A2" s="30" t="s">
        <v>244</v>
      </c>
    </row>
    <row r="3" spans="1:15">
      <c r="A3" s="26"/>
    </row>
    <row r="4" spans="1:15">
      <c r="A4" s="7"/>
      <c r="I4" t="s">
        <v>365</v>
      </c>
    </row>
    <row r="5" spans="1:15" ht="33.75" customHeight="1">
      <c r="A5" s="101" t="s">
        <v>0</v>
      </c>
      <c r="B5" s="102" t="s">
        <v>12</v>
      </c>
      <c r="C5" s="103" t="s">
        <v>17</v>
      </c>
      <c r="D5" s="103" t="s">
        <v>18</v>
      </c>
      <c r="E5" s="103" t="s">
        <v>19</v>
      </c>
      <c r="F5" s="103" t="s">
        <v>20</v>
      </c>
      <c r="G5" s="103" t="s">
        <v>21</v>
      </c>
      <c r="H5" s="164" t="s">
        <v>432</v>
      </c>
      <c r="I5" s="103" t="s">
        <v>433</v>
      </c>
      <c r="J5" s="103" t="s">
        <v>434</v>
      </c>
      <c r="K5" s="103" t="s">
        <v>435</v>
      </c>
      <c r="L5" s="103" t="s">
        <v>436</v>
      </c>
      <c r="M5" s="103" t="s">
        <v>437</v>
      </c>
    </row>
    <row r="6" spans="1:15" s="62" customFormat="1" ht="16.5" customHeight="1">
      <c r="A6" s="169" t="s">
        <v>303</v>
      </c>
      <c r="B6" s="61"/>
      <c r="C6" s="61"/>
      <c r="D6" s="186">
        <v>224.34</v>
      </c>
      <c r="E6" s="187">
        <v>189.7</v>
      </c>
      <c r="F6" s="186">
        <f>255.86-170.82</f>
        <v>85.04000000000002</v>
      </c>
      <c r="G6" s="186">
        <v>148.77000000000001</v>
      </c>
      <c r="H6" s="127">
        <v>148.22</v>
      </c>
      <c r="I6" s="127">
        <v>150</v>
      </c>
      <c r="J6" s="127">
        <v>160</v>
      </c>
      <c r="K6" s="127">
        <v>170</v>
      </c>
      <c r="L6" s="127">
        <v>180</v>
      </c>
      <c r="M6" s="127">
        <v>200</v>
      </c>
    </row>
    <row r="7" spans="1:15" s="62" customFormat="1" ht="16.5" customHeight="1">
      <c r="A7" s="169" t="s">
        <v>304</v>
      </c>
      <c r="B7" s="61"/>
      <c r="C7" s="61"/>
      <c r="D7" s="186">
        <v>258.86</v>
      </c>
      <c r="E7" s="186">
        <v>521.26</v>
      </c>
      <c r="F7" s="186">
        <v>1225.22</v>
      </c>
      <c r="G7" s="186">
        <v>809.06</v>
      </c>
      <c r="H7" s="127">
        <f>336.13+113.76</f>
        <v>449.89</v>
      </c>
      <c r="I7" s="127">
        <v>400</v>
      </c>
      <c r="J7" s="127">
        <v>450</v>
      </c>
      <c r="K7" s="127">
        <v>500</v>
      </c>
      <c r="L7" s="127">
        <v>550</v>
      </c>
      <c r="M7" s="127">
        <v>600</v>
      </c>
    </row>
    <row r="8" spans="1:15" s="62" customFormat="1" ht="16.5" customHeight="1">
      <c r="A8" s="169" t="s">
        <v>305</v>
      </c>
      <c r="B8" s="61"/>
      <c r="C8" s="61"/>
      <c r="D8" s="187">
        <v>47.9</v>
      </c>
      <c r="E8" s="187">
        <v>44.96</v>
      </c>
      <c r="F8" s="187">
        <v>65.7</v>
      </c>
      <c r="G8" s="186">
        <v>105.69</v>
      </c>
      <c r="H8" s="127">
        <f>64.82+46</f>
        <v>110.82</v>
      </c>
      <c r="I8" s="127">
        <v>120</v>
      </c>
      <c r="J8" s="127">
        <v>130</v>
      </c>
      <c r="K8" s="127">
        <v>140</v>
      </c>
      <c r="L8" s="127">
        <v>150</v>
      </c>
      <c r="M8" s="127">
        <v>160</v>
      </c>
    </row>
    <row r="9" spans="1:15" s="62" customFormat="1" ht="16.5" customHeight="1">
      <c r="A9" s="169" t="s">
        <v>306</v>
      </c>
      <c r="B9" s="61"/>
      <c r="C9" s="61"/>
      <c r="D9" s="17">
        <v>1066.1400000000001</v>
      </c>
      <c r="E9" s="17">
        <f>106.34+1036.16</f>
        <v>1142.5</v>
      </c>
      <c r="F9" s="61">
        <v>1150.97</v>
      </c>
      <c r="G9" s="186">
        <v>2369.77</v>
      </c>
      <c r="H9" s="127">
        <v>2357.8000000000002</v>
      </c>
      <c r="I9" s="127">
        <f>+H9-830+7-100</f>
        <v>1434.8000000000002</v>
      </c>
      <c r="J9" s="127">
        <v>1500</v>
      </c>
      <c r="K9" s="127">
        <v>1550</v>
      </c>
      <c r="L9" s="127">
        <v>1600</v>
      </c>
      <c r="M9" s="127">
        <v>1650</v>
      </c>
      <c r="O9" s="137">
        <f>+H9-I9</f>
        <v>923</v>
      </c>
    </row>
    <row r="10" spans="1:15" s="62" customFormat="1" ht="16.5" customHeight="1">
      <c r="A10" s="169" t="s">
        <v>307</v>
      </c>
      <c r="B10" s="61"/>
      <c r="C10" s="61"/>
      <c r="D10" s="61">
        <v>43.42</v>
      </c>
      <c r="E10" s="61">
        <v>115.97</v>
      </c>
      <c r="F10" s="61">
        <v>160.41</v>
      </c>
      <c r="G10" s="186">
        <v>643.96</v>
      </c>
      <c r="H10" s="127">
        <f>916.34-46-113.76</f>
        <v>756.58</v>
      </c>
      <c r="I10" s="127">
        <f>+H10-125-40-25.86</f>
        <v>565.72</v>
      </c>
      <c r="J10" s="127">
        <f>+I10-40</f>
        <v>525.72</v>
      </c>
      <c r="K10" s="127">
        <f>+J10-212.8</f>
        <v>312.92</v>
      </c>
      <c r="L10" s="127">
        <v>350</v>
      </c>
      <c r="M10" s="127">
        <v>400</v>
      </c>
    </row>
    <row r="11" spans="1:15" ht="22.5" customHeight="1">
      <c r="A11" s="110" t="s">
        <v>284</v>
      </c>
      <c r="B11" s="124"/>
      <c r="C11" s="123">
        <f>+C6+C7+C8+C9+C10</f>
        <v>0</v>
      </c>
      <c r="D11" s="123">
        <f t="shared" ref="D11:M11" si="0">+D6+D7+D8+D9+D10</f>
        <v>1640.6600000000003</v>
      </c>
      <c r="E11" s="123">
        <f t="shared" si="0"/>
        <v>2014.39</v>
      </c>
      <c r="F11" s="123">
        <f t="shared" si="0"/>
        <v>2687.34</v>
      </c>
      <c r="G11" s="123">
        <f t="shared" si="0"/>
        <v>4077.25</v>
      </c>
      <c r="H11" s="123">
        <f t="shared" si="0"/>
        <v>3823.3100000000004</v>
      </c>
      <c r="I11" s="123">
        <f t="shared" si="0"/>
        <v>2670.5200000000004</v>
      </c>
      <c r="J11" s="123">
        <f t="shared" si="0"/>
        <v>2765.7200000000003</v>
      </c>
      <c r="K11" s="123">
        <f t="shared" si="0"/>
        <v>2672.92</v>
      </c>
      <c r="L11" s="123">
        <f t="shared" si="0"/>
        <v>2830</v>
      </c>
      <c r="M11" s="123">
        <f t="shared" si="0"/>
        <v>3010</v>
      </c>
    </row>
    <row r="13" spans="1:15" hidden="1">
      <c r="A13">
        <v>220</v>
      </c>
      <c r="D13" s="10">
        <v>224.34</v>
      </c>
      <c r="E13" s="16">
        <v>189.7</v>
      </c>
      <c r="H13" s="16"/>
    </row>
    <row r="14" spans="1:15" hidden="1">
      <c r="A14">
        <v>230</v>
      </c>
      <c r="D14" s="10">
        <v>258.86</v>
      </c>
      <c r="E14" s="16">
        <f>407.5+113.76</f>
        <v>521.26</v>
      </c>
      <c r="F14" s="16"/>
    </row>
    <row r="15" spans="1:15" hidden="1">
      <c r="A15">
        <v>240</v>
      </c>
      <c r="D15" s="16">
        <v>47.9</v>
      </c>
      <c r="E15">
        <f>45.02-0.06</f>
        <v>44.96</v>
      </c>
    </row>
    <row r="16" spans="1:15" hidden="1">
      <c r="A16">
        <v>243</v>
      </c>
      <c r="D16">
        <v>0</v>
      </c>
      <c r="E16">
        <v>0</v>
      </c>
    </row>
    <row r="17" spans="1:13" hidden="1">
      <c r="A17">
        <v>244</v>
      </c>
      <c r="D17">
        <v>0</v>
      </c>
      <c r="E17">
        <v>0</v>
      </c>
    </row>
    <row r="18" spans="1:13" hidden="1">
      <c r="A18">
        <v>245</v>
      </c>
      <c r="D18">
        <v>0</v>
      </c>
      <c r="E18">
        <v>0</v>
      </c>
    </row>
    <row r="19" spans="1:13" hidden="1">
      <c r="A19">
        <v>248</v>
      </c>
      <c r="D19">
        <v>0</v>
      </c>
      <c r="E19">
        <v>0</v>
      </c>
    </row>
    <row r="20" spans="1:13" hidden="1">
      <c r="A20">
        <v>249</v>
      </c>
      <c r="D20">
        <v>0</v>
      </c>
      <c r="E20">
        <v>0</v>
      </c>
    </row>
    <row r="21" spans="1:13" hidden="1">
      <c r="D21" s="6">
        <f>+D15+D16+D17+D18+D19+D20</f>
        <v>47.9</v>
      </c>
      <c r="E21" s="6">
        <f>+E15+E16+E17+E18+E19+E20</f>
        <v>44.96</v>
      </c>
      <c r="F21" s="6">
        <f t="shared" ref="F21:M21" si="1">+F15+F16+F17+F18+F19+F20</f>
        <v>0</v>
      </c>
      <c r="G21" s="6">
        <f t="shared" si="1"/>
        <v>0</v>
      </c>
      <c r="H21" s="6">
        <f t="shared" si="1"/>
        <v>0</v>
      </c>
      <c r="I21" s="6">
        <f t="shared" si="1"/>
        <v>0</v>
      </c>
      <c r="J21" s="6">
        <f t="shared" si="1"/>
        <v>0</v>
      </c>
      <c r="K21" s="6">
        <f t="shared" si="1"/>
        <v>0</v>
      </c>
      <c r="L21" s="6">
        <f t="shared" si="1"/>
        <v>0</v>
      </c>
      <c r="M21" s="6">
        <f t="shared" si="1"/>
        <v>0</v>
      </c>
    </row>
    <row r="22" spans="1:13" hidden="1"/>
    <row r="23" spans="1:13" hidden="1"/>
    <row r="24" spans="1:13" hidden="1">
      <c r="A24">
        <v>250</v>
      </c>
      <c r="D24">
        <v>22.82</v>
      </c>
      <c r="E24">
        <v>27.43</v>
      </c>
    </row>
    <row r="25" spans="1:13" hidden="1"/>
    <row r="26" spans="1:13" hidden="1">
      <c r="A26">
        <v>260</v>
      </c>
      <c r="D26">
        <v>0.39</v>
      </c>
      <c r="E26">
        <v>0.28000000000000003</v>
      </c>
    </row>
    <row r="27" spans="1:13" hidden="1">
      <c r="A27">
        <v>270</v>
      </c>
      <c r="D27" s="16">
        <v>1065.76</v>
      </c>
      <c r="E27" s="16">
        <f>1153.24+0.06</f>
        <v>1153.3</v>
      </c>
    </row>
    <row r="28" spans="1:13" hidden="1">
      <c r="D28" s="6">
        <f>+D26+D27</f>
        <v>1066.1500000000001</v>
      </c>
      <c r="E28" s="6">
        <f>+E26+E27</f>
        <v>1153.58</v>
      </c>
      <c r="F28" s="6">
        <f t="shared" ref="F28:M28" si="2">+F26+F27</f>
        <v>0</v>
      </c>
      <c r="G28" s="6">
        <f t="shared" si="2"/>
        <v>0</v>
      </c>
      <c r="H28" s="6">
        <f t="shared" si="2"/>
        <v>0</v>
      </c>
      <c r="I28" s="6">
        <f t="shared" si="2"/>
        <v>0</v>
      </c>
      <c r="J28" s="6">
        <f t="shared" si="2"/>
        <v>0</v>
      </c>
      <c r="K28" s="6">
        <f t="shared" si="2"/>
        <v>0</v>
      </c>
      <c r="L28" s="6">
        <f t="shared" si="2"/>
        <v>0</v>
      </c>
      <c r="M28" s="6">
        <f t="shared" si="2"/>
        <v>0</v>
      </c>
    </row>
    <row r="29" spans="1:13" hidden="1">
      <c r="E29" s="16"/>
    </row>
    <row r="30" spans="1:13" hidden="1">
      <c r="A30">
        <v>280</v>
      </c>
      <c r="D30" s="196">
        <f>44.12-0.7</f>
        <v>43.419999999999995</v>
      </c>
      <c r="E30">
        <f>230.77-113.76</f>
        <v>117.01</v>
      </c>
    </row>
    <row r="31" spans="1:13" hidden="1"/>
    <row r="32" spans="1:13" hidden="1">
      <c r="E32" s="16">
        <f>+E28+E30-E9-E10</f>
        <v>12.119999999999919</v>
      </c>
    </row>
    <row r="33" spans="5:5" hidden="1"/>
    <row r="34" spans="5:5" hidden="1">
      <c r="E34" s="16"/>
    </row>
  </sheetData>
  <phoneticPr fontId="3" type="noConversion"/>
  <dataValidations disablePrompts="1" count="1">
    <dataValidation type="decimal" allowBlank="1" showInputMessage="1" showErrorMessage="1" error="Enter in number format only" sqref="B5">
      <formula1>-1000000000000000</formula1>
      <formula2>100000000000000000</formula2>
    </dataValidation>
  </dataValidations>
  <printOptions horizontalCentered="1"/>
  <pageMargins left="0.75" right="0.75" top="1" bottom="1" header="0.5" footer="0.5"/>
  <pageSetup orientation="landscape" verticalDpi="4294967295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dimension ref="A2:Q74"/>
  <sheetViews>
    <sheetView showGridLines="0" view="pageBreakPreview" zoomScaleSheetLayoutView="100" workbookViewId="0">
      <selection activeCell="C3" sqref="C3:G3"/>
    </sheetView>
  </sheetViews>
  <sheetFormatPr defaultRowHeight="12.75"/>
  <cols>
    <col min="1" max="1" width="46.28515625" style="11" customWidth="1"/>
    <col min="2" max="2" width="6.7109375" style="11" customWidth="1"/>
    <col min="3" max="3" width="7.5703125" style="11" hidden="1" customWidth="1"/>
    <col min="4" max="5" width="12.5703125" style="11" hidden="1" customWidth="1"/>
    <col min="6" max="6" width="7.5703125" style="11" hidden="1" customWidth="1"/>
    <col min="7" max="7" width="8" style="11" hidden="1" customWidth="1"/>
    <col min="8" max="8" width="12.85546875" style="11" bestFit="1" customWidth="1"/>
    <col min="9" max="9" width="11.140625" style="11" bestFit="1" customWidth="1"/>
    <col min="10" max="10" width="10.5703125" style="11" bestFit="1" customWidth="1"/>
    <col min="11" max="11" width="9.85546875" style="11" bestFit="1" customWidth="1"/>
    <col min="12" max="12" width="10.42578125" style="11" bestFit="1" customWidth="1"/>
    <col min="13" max="13" width="11.140625" style="11" bestFit="1" customWidth="1"/>
    <col min="14" max="15" width="9.140625" style="11"/>
    <col min="16" max="17" width="14.7109375" style="11" hidden="1" customWidth="1"/>
    <col min="18" max="16384" width="9.140625" style="11"/>
  </cols>
  <sheetData>
    <row r="2" spans="1:17">
      <c r="A2" s="19" t="s">
        <v>119</v>
      </c>
    </row>
    <row r="3" spans="1:17">
      <c r="A3" s="30" t="s">
        <v>120</v>
      </c>
      <c r="H3" s="11" t="s">
        <v>365</v>
      </c>
    </row>
    <row r="4" spans="1:17">
      <c r="A4" s="26"/>
    </row>
    <row r="5" spans="1:17">
      <c r="A5" s="7"/>
    </row>
    <row r="6" spans="1:17" ht="24" customHeight="1">
      <c r="A6" s="101" t="s">
        <v>0</v>
      </c>
      <c r="B6" s="103" t="s">
        <v>12</v>
      </c>
      <c r="C6" s="103" t="s">
        <v>17</v>
      </c>
      <c r="D6" s="103" t="s">
        <v>18</v>
      </c>
      <c r="E6" s="103" t="s">
        <v>19</v>
      </c>
      <c r="F6" s="103" t="s">
        <v>20</v>
      </c>
      <c r="G6" s="103" t="s">
        <v>21</v>
      </c>
      <c r="H6" s="164" t="s">
        <v>432</v>
      </c>
      <c r="I6" s="103" t="s">
        <v>433</v>
      </c>
      <c r="J6" s="103" t="s">
        <v>434</v>
      </c>
      <c r="K6" s="103" t="s">
        <v>435</v>
      </c>
      <c r="L6" s="103" t="s">
        <v>436</v>
      </c>
      <c r="M6" s="103" t="s">
        <v>437</v>
      </c>
    </row>
    <row r="7" spans="1:17" ht="18" customHeight="1">
      <c r="A7" s="36" t="s">
        <v>308</v>
      </c>
      <c r="B7" s="35"/>
      <c r="C7" s="31"/>
      <c r="D7" s="31">
        <v>80.87</v>
      </c>
      <c r="E7" s="209">
        <v>294.11</v>
      </c>
      <c r="F7" s="36">
        <v>138.35</v>
      </c>
      <c r="G7" s="31">
        <v>342.76</v>
      </c>
      <c r="H7" s="31">
        <v>212.92</v>
      </c>
      <c r="I7" s="36">
        <v>220</v>
      </c>
      <c r="J7" s="36">
        <v>240</v>
      </c>
      <c r="K7" s="36">
        <v>260</v>
      </c>
      <c r="L7" s="36">
        <v>280</v>
      </c>
      <c r="M7" s="36">
        <v>300</v>
      </c>
      <c r="P7" s="11">
        <v>1372060775</v>
      </c>
      <c r="Q7" s="11">
        <v>1379599068</v>
      </c>
    </row>
    <row r="8" spans="1:17" ht="18" customHeight="1">
      <c r="A8" s="34" t="s">
        <v>309</v>
      </c>
      <c r="B8" s="35"/>
      <c r="C8" s="31"/>
      <c r="D8" s="31">
        <v>12.31</v>
      </c>
      <c r="E8" s="209">
        <v>52.93</v>
      </c>
      <c r="F8" s="36">
        <v>96.8</v>
      </c>
      <c r="G8" s="36">
        <v>95.86</v>
      </c>
      <c r="H8" s="36">
        <v>71.84</v>
      </c>
      <c r="I8" s="36">
        <v>75</v>
      </c>
      <c r="J8" s="36">
        <v>80</v>
      </c>
      <c r="K8" s="36">
        <v>85</v>
      </c>
      <c r="L8" s="36">
        <v>90</v>
      </c>
      <c r="M8" s="36">
        <v>95</v>
      </c>
      <c r="P8" s="11">
        <v>327299932</v>
      </c>
      <c r="Q8" s="11">
        <v>220979524</v>
      </c>
    </row>
    <row r="9" spans="1:17" ht="18" customHeight="1">
      <c r="A9" s="34" t="s">
        <v>310</v>
      </c>
      <c r="B9" s="35"/>
      <c r="C9" s="31"/>
      <c r="D9" s="31">
        <f>39.09+23.72</f>
        <v>62.81</v>
      </c>
      <c r="E9" s="209">
        <f>32.69+15.46</f>
        <v>48.15</v>
      </c>
      <c r="F9" s="36">
        <f>33.18+21.49</f>
        <v>54.67</v>
      </c>
      <c r="G9" s="31">
        <v>73.7</v>
      </c>
      <c r="H9" s="36">
        <v>104.58</v>
      </c>
      <c r="I9" s="36">
        <v>110</v>
      </c>
      <c r="J9" s="36">
        <v>120</v>
      </c>
      <c r="K9" s="36">
        <v>130</v>
      </c>
      <c r="L9" s="36">
        <v>140</v>
      </c>
      <c r="M9" s="36">
        <v>150</v>
      </c>
      <c r="P9" s="11">
        <v>278178522</v>
      </c>
      <c r="Q9" s="11">
        <v>185623129</v>
      </c>
    </row>
    <row r="10" spans="1:17" ht="18" customHeight="1">
      <c r="A10" s="37" t="s">
        <v>311</v>
      </c>
      <c r="B10" s="35"/>
      <c r="C10" s="31"/>
      <c r="D10" s="31">
        <v>48.58</v>
      </c>
      <c r="E10" s="210">
        <v>43.1</v>
      </c>
      <c r="F10" s="36">
        <v>42.39</v>
      </c>
      <c r="G10" s="31">
        <v>961.06</v>
      </c>
      <c r="H10" s="36">
        <v>578.80999999999995</v>
      </c>
      <c r="I10" s="36">
        <f>+H10-397.42</f>
        <v>181.38999999999993</v>
      </c>
      <c r="J10" s="36">
        <v>240</v>
      </c>
      <c r="K10" s="36">
        <v>260</v>
      </c>
      <c r="L10" s="36">
        <v>280</v>
      </c>
      <c r="M10" s="36">
        <v>300</v>
      </c>
      <c r="P10" s="11">
        <v>361150000</v>
      </c>
      <c r="Q10" s="11">
        <v>303850000</v>
      </c>
    </row>
    <row r="11" spans="1:17" ht="18" customHeight="1">
      <c r="A11" s="37" t="s">
        <v>122</v>
      </c>
      <c r="B11" s="35"/>
      <c r="C11" s="36"/>
      <c r="D11" s="36">
        <v>1286.81</v>
      </c>
      <c r="E11" s="209">
        <v>1275.1199999999999</v>
      </c>
      <c r="F11" s="36">
        <v>2196.27</v>
      </c>
      <c r="G11" s="36">
        <v>3930.17</v>
      </c>
      <c r="H11" s="36">
        <v>3988.39</v>
      </c>
      <c r="I11" s="36">
        <f>3263.22+142.2+276.58+3</f>
        <v>3684.9999999999995</v>
      </c>
      <c r="J11" s="36">
        <v>4740.53</v>
      </c>
      <c r="K11" s="36">
        <v>4117.04</v>
      </c>
      <c r="L11" s="36">
        <v>4026.63</v>
      </c>
      <c r="M11" s="36">
        <v>1578.1899999999998</v>
      </c>
      <c r="P11" s="11">
        <v>4034108241.9229507</v>
      </c>
      <c r="Q11" s="11">
        <v>2193806710</v>
      </c>
    </row>
    <row r="12" spans="1:17" ht="18" customHeight="1">
      <c r="A12" s="37" t="s">
        <v>366</v>
      </c>
      <c r="B12" s="35"/>
      <c r="C12" s="31"/>
      <c r="D12" s="31">
        <v>29.73</v>
      </c>
      <c r="E12" s="209">
        <v>8.0299999999999994</v>
      </c>
      <c r="F12" s="36">
        <v>28.28</v>
      </c>
      <c r="G12" s="31">
        <v>60</v>
      </c>
      <c r="H12" s="36">
        <v>107.8</v>
      </c>
      <c r="I12" s="36">
        <v>110</v>
      </c>
      <c r="J12" s="36">
        <v>120</v>
      </c>
      <c r="K12" s="36">
        <v>130</v>
      </c>
      <c r="L12" s="36">
        <v>140</v>
      </c>
      <c r="M12" s="36">
        <v>150</v>
      </c>
      <c r="P12" s="11">
        <v>21189020249.077049</v>
      </c>
      <c r="Q12" s="11">
        <v>14074093006</v>
      </c>
    </row>
    <row r="13" spans="1:17" ht="18" customHeight="1">
      <c r="A13" s="37" t="s">
        <v>367</v>
      </c>
      <c r="B13" s="35"/>
      <c r="C13" s="31"/>
      <c r="D13" s="31">
        <v>22.98</v>
      </c>
      <c r="E13" s="209">
        <v>44.52</v>
      </c>
      <c r="F13" s="36">
        <v>20.83</v>
      </c>
      <c r="G13" s="31">
        <v>36.42</v>
      </c>
      <c r="H13" s="36">
        <v>44.8</v>
      </c>
      <c r="I13" s="36">
        <v>50</v>
      </c>
      <c r="J13" s="36">
        <v>60</v>
      </c>
      <c r="K13" s="36">
        <v>70</v>
      </c>
      <c r="L13" s="36">
        <v>80</v>
      </c>
      <c r="M13" s="36">
        <v>90</v>
      </c>
      <c r="P13" s="11">
        <v>89168102</v>
      </c>
      <c r="Q13" s="11">
        <v>142229584</v>
      </c>
    </row>
    <row r="14" spans="1:17" ht="18" customHeight="1">
      <c r="A14" s="37" t="s">
        <v>62</v>
      </c>
      <c r="B14" s="35"/>
      <c r="C14" s="31"/>
      <c r="D14" s="31">
        <f>2192.51+1.82-1544.09</f>
        <v>650.24000000000046</v>
      </c>
      <c r="E14" s="31">
        <v>1174.82</v>
      </c>
      <c r="F14" s="36">
        <f>4200.51-2577.59</f>
        <v>1622.92</v>
      </c>
      <c r="G14" s="31">
        <v>423.16</v>
      </c>
      <c r="H14" s="36">
        <v>443.77999999999986</v>
      </c>
      <c r="I14" s="36">
        <f>+H14-125-40-25.86</f>
        <v>252.91999999999985</v>
      </c>
      <c r="J14" s="36">
        <v>212.91999999999985</v>
      </c>
      <c r="K14" s="239">
        <v>0</v>
      </c>
      <c r="L14" s="239">
        <v>0</v>
      </c>
      <c r="M14" s="239">
        <v>0</v>
      </c>
      <c r="P14" s="11">
        <v>13032021</v>
      </c>
      <c r="Q14" s="11">
        <v>102448952</v>
      </c>
    </row>
    <row r="15" spans="1:17" ht="18" customHeight="1">
      <c r="A15" s="110" t="s">
        <v>284</v>
      </c>
      <c r="B15" s="110"/>
      <c r="C15" s="120">
        <f t="shared" ref="C15:M15" si="0">SUM(C7:C14)</f>
        <v>0</v>
      </c>
      <c r="D15" s="120">
        <f t="shared" si="0"/>
        <v>2194.3300000000004</v>
      </c>
      <c r="E15" s="120">
        <f t="shared" si="0"/>
        <v>2940.7799999999997</v>
      </c>
      <c r="F15" s="120">
        <f t="shared" si="0"/>
        <v>4200.51</v>
      </c>
      <c r="G15" s="120">
        <f t="shared" si="0"/>
        <v>5923.13</v>
      </c>
      <c r="H15" s="120">
        <f t="shared" si="0"/>
        <v>5552.92</v>
      </c>
      <c r="I15" s="120">
        <f t="shared" si="0"/>
        <v>4684.3099999999995</v>
      </c>
      <c r="J15" s="120">
        <f t="shared" si="0"/>
        <v>5813.45</v>
      </c>
      <c r="K15" s="120">
        <f t="shared" si="0"/>
        <v>5052.04</v>
      </c>
      <c r="L15" s="120">
        <f t="shared" si="0"/>
        <v>5036.63</v>
      </c>
      <c r="M15" s="120">
        <f t="shared" si="0"/>
        <v>2663.1899999999996</v>
      </c>
      <c r="P15" s="11">
        <v>660770982</v>
      </c>
      <c r="Q15" s="11">
        <v>699248949</v>
      </c>
    </row>
    <row r="16" spans="1:17">
      <c r="P16" s="11">
        <v>308392537</v>
      </c>
      <c r="Q16" s="11">
        <v>286197442</v>
      </c>
    </row>
    <row r="17" spans="3:17" hidden="1">
      <c r="H17" s="7">
        <f>+H15-5592.03</f>
        <v>-39.109999999999673</v>
      </c>
      <c r="I17" s="7"/>
      <c r="P17" s="11">
        <v>235180967</v>
      </c>
      <c r="Q17" s="11">
        <v>391743130</v>
      </c>
    </row>
    <row r="18" spans="3:17" hidden="1">
      <c r="C18" s="11">
        <v>42</v>
      </c>
      <c r="D18" s="11">
        <v>80.87</v>
      </c>
      <c r="E18" s="11">
        <v>294.11</v>
      </c>
      <c r="H18" s="7">
        <f>SUM(H8:H14)</f>
        <v>5340</v>
      </c>
      <c r="I18" s="7">
        <f>SUM(I8:I14)</f>
        <v>4464.3099999999995</v>
      </c>
      <c r="P18" s="11">
        <v>760638068</v>
      </c>
      <c r="Q18" s="11">
        <v>906453127</v>
      </c>
    </row>
    <row r="19" spans="3:17" hidden="1">
      <c r="C19" s="11">
        <v>43</v>
      </c>
      <c r="D19" s="11">
        <v>12.31</v>
      </c>
      <c r="E19" s="11">
        <v>52.93</v>
      </c>
      <c r="I19" s="7">
        <f>+I18-H18</f>
        <v>-875.69000000000051</v>
      </c>
      <c r="P19" s="11">
        <v>13873671</v>
      </c>
      <c r="Q19" s="11">
        <v>15183337</v>
      </c>
    </row>
    <row r="20" spans="3:17" hidden="1">
      <c r="C20" s="11">
        <v>44</v>
      </c>
      <c r="D20" s="11">
        <v>62.81</v>
      </c>
      <c r="E20" s="11">
        <v>43.36</v>
      </c>
      <c r="H20" s="166">
        <v>5617.74</v>
      </c>
      <c r="P20" s="11">
        <v>29642874068</v>
      </c>
      <c r="Q20" s="11">
        <v>24867687056</v>
      </c>
    </row>
    <row r="21" spans="3:17" hidden="1">
      <c r="C21" s="166">
        <v>46</v>
      </c>
      <c r="D21" s="166">
        <v>2059.2600000000002</v>
      </c>
      <c r="E21" s="166">
        <v>2696.94</v>
      </c>
      <c r="H21" s="166">
        <v>5592.05</v>
      </c>
    </row>
    <row r="22" spans="3:17" hidden="1">
      <c r="C22" s="166">
        <v>57</v>
      </c>
      <c r="D22" s="166">
        <v>1.83</v>
      </c>
      <c r="E22" s="166">
        <v>2.36</v>
      </c>
      <c r="H22" s="11">
        <f>+H20-H21</f>
        <v>25.6899999999996</v>
      </c>
    </row>
    <row r="23" spans="3:17" hidden="1">
      <c r="D23" s="166">
        <f>+D18+D19+D20+D21+D22</f>
        <v>2217.08</v>
      </c>
      <c r="E23" s="196">
        <f>SUM(E18:E22)</f>
        <v>3089.7000000000003</v>
      </c>
    </row>
    <row r="24" spans="3:17" hidden="1">
      <c r="D24" s="7">
        <v>66.849999999999994</v>
      </c>
      <c r="E24" s="7">
        <v>109.36</v>
      </c>
    </row>
    <row r="25" spans="3:17" hidden="1">
      <c r="D25" s="7">
        <f>+D23-D24</f>
        <v>2150.23</v>
      </c>
      <c r="E25" s="7">
        <f>+E23-E24</f>
        <v>2980.34</v>
      </c>
    </row>
    <row r="26" spans="3:17" hidden="1">
      <c r="D26" s="7">
        <f>+D15-D25</f>
        <v>44.100000000000364</v>
      </c>
      <c r="E26" s="7">
        <f>+E15-E25</f>
        <v>-39.5600000000004</v>
      </c>
    </row>
    <row r="27" spans="3:17" hidden="1">
      <c r="I27" s="166">
        <v>3988.39</v>
      </c>
      <c r="J27" s="11">
        <f>+I30</f>
        <v>3084.3900000000003</v>
      </c>
      <c r="K27" s="11">
        <f t="shared" ref="K27:M27" si="1">+J30</f>
        <v>4171.8900000000003</v>
      </c>
      <c r="L27" s="11">
        <f t="shared" si="1"/>
        <v>3814.74</v>
      </c>
      <c r="M27" s="11">
        <f t="shared" si="1"/>
        <v>4114.74</v>
      </c>
    </row>
    <row r="28" spans="3:17" hidden="1">
      <c r="I28" s="11">
        <v>1010.19</v>
      </c>
      <c r="J28" s="11">
        <v>1285.22</v>
      </c>
      <c r="K28" s="11">
        <v>976.57</v>
      </c>
      <c r="L28" s="196">
        <v>300</v>
      </c>
      <c r="M28" s="166">
        <v>200.84</v>
      </c>
    </row>
    <row r="29" spans="3:17" hidden="1">
      <c r="I29" s="7">
        <f>+'7(Cont.)'!D45</f>
        <v>1914.1899999999998</v>
      </c>
      <c r="J29" s="7">
        <f>+'7(Cont.)'!D51</f>
        <v>197.72</v>
      </c>
      <c r="K29" s="7">
        <f>+'7(Cont.)'!D57</f>
        <v>1333.72</v>
      </c>
      <c r="L29" s="7">
        <f>+'7(Cont.)'!D63</f>
        <v>0</v>
      </c>
      <c r="M29" s="7">
        <f>+'7(Cont.)'!D69</f>
        <v>2275.84</v>
      </c>
    </row>
    <row r="30" spans="3:17" hidden="1">
      <c r="I30" s="11">
        <f>+I27+I28-I29</f>
        <v>3084.3900000000003</v>
      </c>
      <c r="J30" s="11">
        <f t="shared" ref="J30:M30" si="2">+J27+J28-J29</f>
        <v>4171.8900000000003</v>
      </c>
      <c r="K30" s="11">
        <f t="shared" si="2"/>
        <v>3814.74</v>
      </c>
      <c r="L30" s="7">
        <f t="shared" si="2"/>
        <v>4114.74</v>
      </c>
      <c r="M30" s="7">
        <f t="shared" si="2"/>
        <v>2039.7399999999998</v>
      </c>
    </row>
    <row r="31" spans="3:17" hidden="1"/>
    <row r="32" spans="3:17" hidden="1">
      <c r="I32" s="7">
        <f>+I11-I30</f>
        <v>600.60999999999922</v>
      </c>
      <c r="J32" s="7">
        <f t="shared" ref="J32:M32" si="3">+J11-J30</f>
        <v>568.63999999999942</v>
      </c>
      <c r="K32" s="7">
        <f t="shared" si="3"/>
        <v>302.30000000000018</v>
      </c>
      <c r="L32" s="7">
        <f t="shared" si="3"/>
        <v>-88.109999999999673</v>
      </c>
      <c r="M32" s="7">
        <f t="shared" si="3"/>
        <v>-461.54999999999995</v>
      </c>
    </row>
    <row r="33" spans="7:11" hidden="1"/>
    <row r="34" spans="7:11" hidden="1"/>
    <row r="35" spans="7:11" hidden="1"/>
    <row r="36" spans="7:11" hidden="1"/>
    <row r="37" spans="7:11" hidden="1"/>
    <row r="38" spans="7:11" hidden="1">
      <c r="G38" s="166">
        <v>7.85</v>
      </c>
      <c r="J38" s="11">
        <v>11.41</v>
      </c>
      <c r="K38" s="11">
        <v>11.86</v>
      </c>
    </row>
    <row r="39" spans="7:11" hidden="1">
      <c r="G39" s="166">
        <v>3.57</v>
      </c>
      <c r="J39" s="11">
        <v>410.49</v>
      </c>
      <c r="K39" s="11">
        <v>646.4</v>
      </c>
    </row>
    <row r="40" spans="7:11" hidden="1">
      <c r="G40" s="166">
        <v>257.33</v>
      </c>
      <c r="J40" s="11">
        <v>17.25</v>
      </c>
      <c r="K40" s="11">
        <v>12.05</v>
      </c>
    </row>
    <row r="41" spans="7:11" hidden="1">
      <c r="G41" s="166">
        <v>987.03</v>
      </c>
      <c r="J41" s="166">
        <v>3.93</v>
      </c>
      <c r="K41" s="166">
        <v>4.12</v>
      </c>
    </row>
    <row r="42" spans="7:11" hidden="1">
      <c r="G42" s="166">
        <v>19.350000000000001</v>
      </c>
      <c r="J42" s="166">
        <v>1753.58</v>
      </c>
      <c r="K42" s="166">
        <v>2512.52</v>
      </c>
    </row>
    <row r="43" spans="7:11" hidden="1">
      <c r="G43" s="11">
        <f>+G38+G39+G40+G41+G42</f>
        <v>1275.1299999999999</v>
      </c>
      <c r="J43" s="11">
        <f>+J38+J39+J40+J41+J42</f>
        <v>2196.66</v>
      </c>
      <c r="K43" s="11">
        <f>SUM(K38:K42)</f>
        <v>3186.95</v>
      </c>
    </row>
    <row r="44" spans="7:11" hidden="1"/>
    <row r="45" spans="7:11" hidden="1"/>
    <row r="46" spans="7:11" hidden="1"/>
    <row r="47" spans="7:11" hidden="1"/>
    <row r="48" spans="7:11" hidden="1"/>
    <row r="49" spans="4:11" hidden="1"/>
    <row r="50" spans="4:11" hidden="1"/>
    <row r="51" spans="4:11" hidden="1"/>
    <row r="52" spans="4:11" hidden="1"/>
    <row r="53" spans="4:11" hidden="1"/>
    <row r="54" spans="4:11" hidden="1"/>
    <row r="55" spans="4:11" hidden="1"/>
    <row r="56" spans="4:11" hidden="1"/>
    <row r="57" spans="4:11" hidden="1"/>
    <row r="58" spans="4:11" hidden="1"/>
    <row r="59" spans="4:11" hidden="1"/>
    <row r="60" spans="4:11" hidden="1">
      <c r="D60" s="11">
        <v>10990</v>
      </c>
      <c r="E60" s="11">
        <v>10990</v>
      </c>
      <c r="G60" s="11">
        <v>509.37</v>
      </c>
    </row>
    <row r="61" spans="4:11" hidden="1">
      <c r="D61" s="11">
        <v>-13838660</v>
      </c>
      <c r="E61" s="11">
        <v>-28708819</v>
      </c>
      <c r="G61" s="11">
        <v>655.35</v>
      </c>
      <c r="I61" s="196">
        <v>96.8</v>
      </c>
      <c r="K61" s="196">
        <v>96.1</v>
      </c>
    </row>
    <row r="62" spans="4:11" hidden="1">
      <c r="D62" s="11">
        <v>-4443846</v>
      </c>
      <c r="E62" s="11">
        <v>2778327</v>
      </c>
      <c r="G62" s="11">
        <v>1.71</v>
      </c>
      <c r="I62" s="166">
        <v>1731.53</v>
      </c>
      <c r="K62" s="166">
        <v>2114.3000000000002</v>
      </c>
    </row>
    <row r="63" spans="4:11" hidden="1">
      <c r="D63" s="166">
        <v>-2257741</v>
      </c>
      <c r="E63" s="166">
        <v>-5013238</v>
      </c>
      <c r="G63" s="166">
        <v>0.62</v>
      </c>
      <c r="I63" s="166">
        <v>1164.33</v>
      </c>
      <c r="K63" s="166">
        <v>1375.64</v>
      </c>
    </row>
    <row r="64" spans="4:11" hidden="1">
      <c r="D64" s="166">
        <v>-2986651609</v>
      </c>
      <c r="E64" s="166">
        <v>-2550562525</v>
      </c>
      <c r="G64" s="166">
        <v>4.51</v>
      </c>
      <c r="I64" s="166">
        <v>21.49</v>
      </c>
      <c r="K64" s="166">
        <v>32.119999999999997</v>
      </c>
    </row>
    <row r="65" spans="4:11" hidden="1">
      <c r="D65" s="166"/>
      <c r="E65" s="166">
        <v>-26664</v>
      </c>
      <c r="G65" s="166">
        <v>0.22</v>
      </c>
      <c r="I65" s="166">
        <v>1756.04</v>
      </c>
      <c r="K65" s="166">
        <v>2515.6</v>
      </c>
    </row>
    <row r="66" spans="4:11" hidden="1">
      <c r="D66" s="166">
        <v>-42689850</v>
      </c>
      <c r="E66" s="166">
        <v>-51058242</v>
      </c>
      <c r="G66" s="166">
        <v>3.04</v>
      </c>
      <c r="I66" s="166">
        <v>42.39</v>
      </c>
      <c r="K66" s="166">
        <v>41.91</v>
      </c>
    </row>
    <row r="67" spans="4:11" hidden="1">
      <c r="D67" s="166">
        <v>-1481269</v>
      </c>
      <c r="E67" s="166">
        <v>-1481269</v>
      </c>
      <c r="G67" s="11">
        <f>SUM(G60:G66)</f>
        <v>1174.82</v>
      </c>
      <c r="I67" s="11">
        <f>+I61+I62+I63+I64+I65+I66</f>
        <v>4812.58</v>
      </c>
      <c r="K67" s="11">
        <f>+K61+K62+K63+K64+K65+K66</f>
        <v>6175.67</v>
      </c>
    </row>
    <row r="68" spans="4:11" hidden="1">
      <c r="D68" s="166">
        <v>-20877202</v>
      </c>
      <c r="E68" s="166">
        <v>-30657721</v>
      </c>
    </row>
    <row r="69" spans="4:11" hidden="1">
      <c r="D69" s="166">
        <v>-20709680</v>
      </c>
      <c r="E69" s="166">
        <v>-22685666</v>
      </c>
      <c r="H69" s="11">
        <v>256.83</v>
      </c>
      <c r="J69" s="11">
        <v>56.15</v>
      </c>
    </row>
    <row r="70" spans="4:11" hidden="1">
      <c r="D70" s="166">
        <v>-290046663</v>
      </c>
      <c r="E70" s="166">
        <v>-310649334</v>
      </c>
      <c r="H70" s="11">
        <v>299.72000000000003</v>
      </c>
      <c r="J70" s="11">
        <v>333.61</v>
      </c>
    </row>
    <row r="71" spans="4:11" hidden="1">
      <c r="D71" s="166">
        <v>658289</v>
      </c>
      <c r="E71" s="166">
        <v>688357</v>
      </c>
      <c r="H71" s="11">
        <v>48.64</v>
      </c>
      <c r="J71" s="11">
        <v>48.64</v>
      </c>
    </row>
    <row r="72" spans="4:11" hidden="1">
      <c r="D72" s="166">
        <v>-9346896537</v>
      </c>
      <c r="E72" s="166">
        <v>-9560386120</v>
      </c>
      <c r="H72" s="166">
        <v>6.88</v>
      </c>
      <c r="I72" s="11">
        <f>+H69+H70+H71+H72</f>
        <v>612.06999999999994</v>
      </c>
      <c r="J72" s="166">
        <v>0.23</v>
      </c>
      <c r="K72" s="11">
        <f>+J69+J70+J71+J72</f>
        <v>438.63</v>
      </c>
    </row>
    <row r="73" spans="4:11" hidden="1">
      <c r="D73" s="166">
        <v>-3893850198</v>
      </c>
      <c r="E73" s="166">
        <v>-5093705171</v>
      </c>
      <c r="I73" s="11">
        <f>+I67-I72</f>
        <v>4200.51</v>
      </c>
      <c r="K73" s="11">
        <f>+K67-K72</f>
        <v>5737.04</v>
      </c>
    </row>
    <row r="74" spans="4:11" hidden="1">
      <c r="D74" s="10">
        <f>SUM(D60:D73)</f>
        <v>-16623073976</v>
      </c>
      <c r="E74" s="10">
        <f>SUM(E60:E73)</f>
        <v>-17651457095</v>
      </c>
    </row>
  </sheetData>
  <phoneticPr fontId="3" type="noConversion"/>
  <dataValidations disablePrompts="1" count="1">
    <dataValidation type="decimal" allowBlank="1" showInputMessage="1" showErrorMessage="1" error="Enter in number format only" sqref="B6">
      <formula1>-1000000000000000</formula1>
      <formula2>100000000000000000</formula2>
    </dataValidation>
  </dataValidations>
  <printOptions horizontalCentered="1"/>
  <pageMargins left="0.2" right="0.2" top="1" bottom="1" header="0.5" footer="0.5"/>
  <pageSetup orientation="landscape" verticalDpi="4294967295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dimension ref="A2:M19"/>
  <sheetViews>
    <sheetView showGridLines="0" view="pageBreakPreview" zoomScaleSheetLayoutView="100" workbookViewId="0">
      <selection activeCell="J19" sqref="J19"/>
    </sheetView>
  </sheetViews>
  <sheetFormatPr defaultRowHeight="12.75"/>
  <cols>
    <col min="1" max="1" width="33.140625" bestFit="1" customWidth="1"/>
    <col min="2" max="2" width="6.7109375" hidden="1" customWidth="1"/>
    <col min="3" max="7" width="7.5703125" hidden="1" customWidth="1"/>
    <col min="8" max="8" width="12.140625" customWidth="1"/>
    <col min="9" max="13" width="9.42578125" customWidth="1"/>
  </cols>
  <sheetData>
    <row r="2" spans="1:13">
      <c r="A2" s="10" t="s">
        <v>239</v>
      </c>
    </row>
    <row r="3" spans="1:13">
      <c r="A3" s="12"/>
    </row>
    <row r="4" spans="1:13" ht="27" customHeight="1">
      <c r="A4" s="104" t="s">
        <v>0</v>
      </c>
      <c r="B4" s="102" t="s">
        <v>12</v>
      </c>
      <c r="C4" s="103" t="s">
        <v>17</v>
      </c>
      <c r="D4" s="103" t="s">
        <v>18</v>
      </c>
      <c r="E4" s="103" t="s">
        <v>19</v>
      </c>
      <c r="F4" s="103" t="s">
        <v>20</v>
      </c>
      <c r="G4" s="103" t="s">
        <v>21</v>
      </c>
      <c r="H4" s="164" t="s">
        <v>432</v>
      </c>
      <c r="I4" s="103" t="s">
        <v>433</v>
      </c>
      <c r="J4" s="103" t="s">
        <v>434</v>
      </c>
      <c r="K4" s="103" t="s">
        <v>435</v>
      </c>
      <c r="L4" s="103" t="s">
        <v>436</v>
      </c>
      <c r="M4" s="103" t="s">
        <v>437</v>
      </c>
    </row>
    <row r="5" spans="1:13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</row>
    <row r="6" spans="1:13">
      <c r="A6" s="18" t="s">
        <v>440</v>
      </c>
      <c r="B6" s="4"/>
      <c r="C6" s="128"/>
      <c r="D6" s="128"/>
      <c r="E6" s="128"/>
      <c r="F6" s="128"/>
      <c r="G6" s="128"/>
      <c r="H6" s="128"/>
      <c r="I6" s="128"/>
      <c r="J6" s="128"/>
      <c r="K6" s="128"/>
      <c r="L6" s="128"/>
      <c r="M6" s="128"/>
    </row>
    <row r="7" spans="1:13">
      <c r="A7" s="44" t="s">
        <v>240</v>
      </c>
      <c r="B7" s="4"/>
      <c r="C7" s="128"/>
      <c r="D7" s="128"/>
      <c r="E7" s="128"/>
      <c r="F7" s="128"/>
      <c r="G7" s="128"/>
      <c r="H7" s="9">
        <v>10935</v>
      </c>
      <c r="I7" s="9">
        <v>10668.56</v>
      </c>
      <c r="J7" s="9">
        <v>12307.99</v>
      </c>
      <c r="K7" s="9">
        <v>12307.99</v>
      </c>
      <c r="L7" s="9">
        <v>13725.62</v>
      </c>
      <c r="M7" s="9">
        <v>14797.98</v>
      </c>
    </row>
    <row r="8" spans="1:13">
      <c r="A8" s="44" t="s">
        <v>241</v>
      </c>
      <c r="B8" s="4"/>
      <c r="C8" s="128"/>
      <c r="D8" s="128"/>
      <c r="E8" s="128"/>
      <c r="F8" s="128"/>
      <c r="G8" s="128"/>
      <c r="H8" s="9"/>
      <c r="I8" s="9"/>
      <c r="J8" s="9"/>
      <c r="K8" s="9"/>
      <c r="L8" s="9"/>
      <c r="M8" s="9"/>
    </row>
    <row r="9" spans="1:13">
      <c r="A9" s="44" t="s">
        <v>242</v>
      </c>
      <c r="B9" s="4"/>
      <c r="C9" s="128"/>
      <c r="D9" s="128"/>
      <c r="E9" s="128"/>
      <c r="F9" s="128"/>
      <c r="G9" s="128"/>
      <c r="H9" s="9"/>
      <c r="I9" s="9"/>
      <c r="J9" s="9"/>
      <c r="K9" s="9"/>
      <c r="L9" s="9"/>
      <c r="M9" s="9"/>
    </row>
    <row r="10" spans="1:13">
      <c r="A10" s="18" t="s">
        <v>441</v>
      </c>
      <c r="B10" s="4"/>
      <c r="C10" s="128"/>
      <c r="D10" s="128"/>
      <c r="E10" s="128"/>
      <c r="F10" s="128"/>
      <c r="G10" s="128"/>
      <c r="H10" s="9"/>
      <c r="I10" s="9"/>
      <c r="J10" s="9"/>
      <c r="K10" s="9"/>
      <c r="L10" s="9"/>
      <c r="M10" s="9"/>
    </row>
    <row r="11" spans="1:13">
      <c r="A11" s="44" t="s">
        <v>240</v>
      </c>
      <c r="B11" s="4"/>
      <c r="C11" s="128"/>
      <c r="D11" s="128"/>
      <c r="E11" s="128"/>
      <c r="F11" s="128"/>
      <c r="G11" s="128"/>
      <c r="H11" s="9">
        <v>5111</v>
      </c>
      <c r="I11" s="9">
        <v>4520.6899999999996</v>
      </c>
      <c r="J11" s="9">
        <v>5205.0600000000004</v>
      </c>
      <c r="K11" s="9">
        <v>5205.0600000000004</v>
      </c>
      <c r="L11" s="9">
        <v>5800.25</v>
      </c>
      <c r="M11" s="9">
        <v>6247.89</v>
      </c>
    </row>
    <row r="12" spans="1:13">
      <c r="A12" s="44" t="s">
        <v>241</v>
      </c>
      <c r="B12" s="4"/>
      <c r="C12" s="128"/>
      <c r="D12" s="128"/>
      <c r="E12" s="128"/>
      <c r="F12" s="128"/>
      <c r="G12" s="128"/>
      <c r="H12" s="9"/>
      <c r="I12" s="9"/>
      <c r="J12" s="9"/>
      <c r="K12" s="9"/>
      <c r="L12" s="9"/>
      <c r="M12" s="9"/>
    </row>
    <row r="13" spans="1:13">
      <c r="A13" s="44" t="s">
        <v>242</v>
      </c>
      <c r="B13" s="4"/>
      <c r="C13" s="128"/>
      <c r="D13" s="128"/>
      <c r="E13" s="128"/>
      <c r="F13" s="128"/>
      <c r="G13" s="128"/>
      <c r="H13" s="9"/>
      <c r="I13" s="9"/>
      <c r="J13" s="9"/>
      <c r="K13" s="9"/>
      <c r="L13" s="9"/>
      <c r="M13" s="9"/>
    </row>
    <row r="14" spans="1:13">
      <c r="A14" s="18" t="s">
        <v>377</v>
      </c>
      <c r="B14" s="4"/>
      <c r="C14" s="128"/>
      <c r="D14" s="128"/>
      <c r="E14" s="128"/>
      <c r="F14" s="128"/>
      <c r="G14" s="128"/>
      <c r="H14" s="9"/>
      <c r="I14" s="9"/>
      <c r="J14" s="9"/>
      <c r="K14" s="9"/>
      <c r="L14" s="9"/>
      <c r="M14" s="9"/>
    </row>
    <row r="15" spans="1:13">
      <c r="A15" s="44" t="s">
        <v>240</v>
      </c>
      <c r="B15" s="4"/>
      <c r="C15" s="128"/>
      <c r="D15" s="128"/>
      <c r="E15" s="128"/>
      <c r="F15" s="128"/>
      <c r="G15" s="128"/>
      <c r="H15" s="9">
        <v>1</v>
      </c>
      <c r="I15" s="9">
        <v>46.25</v>
      </c>
      <c r="J15" s="9">
        <v>50.88</v>
      </c>
      <c r="K15" s="9">
        <v>55.96</v>
      </c>
      <c r="L15" s="9">
        <v>61.56</v>
      </c>
      <c r="M15" s="9">
        <v>67.72</v>
      </c>
    </row>
    <row r="16" spans="1:13">
      <c r="A16" s="44" t="s">
        <v>241</v>
      </c>
      <c r="B16" s="4"/>
      <c r="C16" s="128"/>
      <c r="D16" s="128"/>
      <c r="E16" s="128"/>
      <c r="F16" s="128"/>
      <c r="G16" s="128"/>
      <c r="H16" s="128"/>
      <c r="I16" s="128"/>
      <c r="J16" s="128"/>
      <c r="K16" s="128"/>
      <c r="L16" s="128"/>
      <c r="M16" s="128"/>
    </row>
    <row r="17" spans="1:13">
      <c r="A17" s="44" t="s">
        <v>242</v>
      </c>
      <c r="B17" s="4"/>
      <c r="C17" s="128"/>
      <c r="D17" s="128"/>
      <c r="E17" s="128"/>
      <c r="F17" s="128"/>
      <c r="G17" s="128"/>
      <c r="H17" s="128"/>
      <c r="I17" s="128"/>
      <c r="J17" s="128"/>
      <c r="K17" s="128"/>
      <c r="L17" s="128"/>
      <c r="M17" s="128"/>
    </row>
    <row r="18" spans="1:13">
      <c r="A18" s="87" t="s">
        <v>96</v>
      </c>
      <c r="B18" s="4"/>
      <c r="C18" s="4"/>
      <c r="D18" s="4"/>
      <c r="E18" s="4"/>
      <c r="F18" s="4"/>
      <c r="G18" s="4"/>
      <c r="H18" s="5">
        <f>SUM(H6:H17)</f>
        <v>16047</v>
      </c>
      <c r="I18" s="5">
        <f t="shared" ref="I18:M18" si="0">SUM(I6:I17)</f>
        <v>15235.5</v>
      </c>
      <c r="J18" s="5">
        <f t="shared" si="0"/>
        <v>17563.93</v>
      </c>
      <c r="K18" s="5">
        <f t="shared" si="0"/>
        <v>17569.009999999998</v>
      </c>
      <c r="L18" s="5">
        <f t="shared" si="0"/>
        <v>19587.430000000004</v>
      </c>
      <c r="M18" s="5">
        <f t="shared" si="0"/>
        <v>21113.59</v>
      </c>
    </row>
    <row r="19" spans="1:13">
      <c r="I19" s="152"/>
      <c r="J19" s="152"/>
      <c r="K19" s="152"/>
      <c r="L19" s="152"/>
      <c r="M19" s="152"/>
    </row>
  </sheetData>
  <phoneticPr fontId="3" type="noConversion"/>
  <dataValidations disablePrompts="1" count="1">
    <dataValidation type="decimal" allowBlank="1" showInputMessage="1" showErrorMessage="1" error="Enter in number format only" sqref="B4">
      <formula1>-1000000000000000</formula1>
      <formula2>100000000000000000</formula2>
    </dataValidation>
  </dataValidations>
  <printOptions horizontalCentered="1"/>
  <pageMargins left="0.75" right="0.75" top="1" bottom="1" header="0.5" footer="0.5"/>
  <pageSetup paperSize="9" orientation="landscape" verticalDpi="4294967295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dimension ref="A1:M16"/>
  <sheetViews>
    <sheetView showGridLines="0" view="pageBreakPreview" zoomScaleSheetLayoutView="100" workbookViewId="0">
      <selection activeCell="L11" sqref="L11"/>
    </sheetView>
  </sheetViews>
  <sheetFormatPr defaultRowHeight="12.75"/>
  <cols>
    <col min="1" max="1" width="30.85546875" customWidth="1"/>
    <col min="2" max="2" width="6.7109375" hidden="1" customWidth="1"/>
    <col min="3" max="4" width="7.5703125" hidden="1" customWidth="1"/>
    <col min="5" max="5" width="8.5703125" hidden="1" customWidth="1"/>
    <col min="6" max="7" width="7.5703125" hidden="1" customWidth="1"/>
    <col min="8" max="8" width="13" customWidth="1"/>
    <col min="9" max="13" width="9.42578125" customWidth="1"/>
  </cols>
  <sheetData>
    <row r="1" spans="1:13">
      <c r="A1" s="19" t="s">
        <v>236</v>
      </c>
    </row>
    <row r="2" spans="1:13">
      <c r="A2" s="30" t="s">
        <v>237</v>
      </c>
    </row>
    <row r="3" spans="1:13">
      <c r="A3" s="26"/>
      <c r="J3" t="s">
        <v>365</v>
      </c>
    </row>
    <row r="4" spans="1:13">
      <c r="A4" s="75"/>
    </row>
    <row r="5" spans="1:13" ht="30" customHeight="1">
      <c r="A5" s="101" t="s">
        <v>121</v>
      </c>
      <c r="B5" s="102" t="s">
        <v>12</v>
      </c>
      <c r="C5" s="103" t="s">
        <v>17</v>
      </c>
      <c r="D5" s="103" t="s">
        <v>18</v>
      </c>
      <c r="E5" s="103" t="s">
        <v>19</v>
      </c>
      <c r="F5" s="103" t="s">
        <v>20</v>
      </c>
      <c r="G5" s="103" t="s">
        <v>21</v>
      </c>
      <c r="H5" s="164" t="s">
        <v>432</v>
      </c>
      <c r="I5" s="103" t="s">
        <v>433</v>
      </c>
      <c r="J5" s="103" t="s">
        <v>434</v>
      </c>
      <c r="K5" s="103" t="s">
        <v>435</v>
      </c>
      <c r="L5" s="103" t="s">
        <v>436</v>
      </c>
      <c r="M5" s="103" t="s">
        <v>437</v>
      </c>
    </row>
    <row r="6" spans="1:13" ht="16.5" customHeight="1">
      <c r="A6" s="83" t="s">
        <v>443</v>
      </c>
      <c r="B6" s="4"/>
      <c r="C6" s="9"/>
      <c r="D6" s="9">
        <v>138.86000000000001</v>
      </c>
      <c r="E6" s="9">
        <v>138.86000000000001</v>
      </c>
      <c r="F6" s="9">
        <v>138.86000000000001</v>
      </c>
      <c r="G6" s="9">
        <v>138.86000000000001</v>
      </c>
      <c r="H6" s="9">
        <f t="shared" ref="H6:M6" si="0">+G6</f>
        <v>138.86000000000001</v>
      </c>
      <c r="I6" s="9">
        <f t="shared" si="0"/>
        <v>138.86000000000001</v>
      </c>
      <c r="J6" s="9">
        <f t="shared" si="0"/>
        <v>138.86000000000001</v>
      </c>
      <c r="K6" s="9">
        <f t="shared" si="0"/>
        <v>138.86000000000001</v>
      </c>
      <c r="L6" s="9">
        <f t="shared" si="0"/>
        <v>138.86000000000001</v>
      </c>
      <c r="M6" s="9">
        <f t="shared" si="0"/>
        <v>138.86000000000001</v>
      </c>
    </row>
    <row r="7" spans="1:13" ht="16.5" customHeight="1">
      <c r="A7" s="83" t="s">
        <v>374</v>
      </c>
      <c r="B7" s="4"/>
      <c r="C7" s="9"/>
      <c r="D7" s="9">
        <v>4.5999999999999996</v>
      </c>
      <c r="E7" s="9">
        <v>4.5999999999999996</v>
      </c>
      <c r="F7" s="9">
        <v>4.5999999999999996</v>
      </c>
      <c r="G7" s="9">
        <v>4.5999999999999996</v>
      </c>
      <c r="H7" s="9">
        <f t="shared" ref="H7:M7" si="1">+G7</f>
        <v>4.5999999999999996</v>
      </c>
      <c r="I7" s="9">
        <f t="shared" si="1"/>
        <v>4.5999999999999996</v>
      </c>
      <c r="J7" s="9">
        <f t="shared" si="1"/>
        <v>4.5999999999999996</v>
      </c>
      <c r="K7" s="9">
        <f t="shared" si="1"/>
        <v>4.5999999999999996</v>
      </c>
      <c r="L7" s="9">
        <f t="shared" si="1"/>
        <v>4.5999999999999996</v>
      </c>
      <c r="M7" s="9">
        <f t="shared" si="1"/>
        <v>4.5999999999999996</v>
      </c>
    </row>
    <row r="8" spans="1:13" ht="16.5" customHeight="1">
      <c r="A8" s="83" t="s">
        <v>238</v>
      </c>
      <c r="B8" s="4"/>
      <c r="C8" s="9"/>
      <c r="D8" s="9">
        <v>32.61</v>
      </c>
      <c r="E8" s="9">
        <v>35.65</v>
      </c>
      <c r="F8" s="9">
        <v>37.29</v>
      </c>
      <c r="G8" s="9">
        <v>39.75</v>
      </c>
      <c r="H8" s="9">
        <v>42.39</v>
      </c>
      <c r="I8" s="9">
        <f>+H8+3</f>
        <v>45.39</v>
      </c>
      <c r="J8" s="9">
        <f>+I8+3</f>
        <v>48.39</v>
      </c>
      <c r="K8" s="9">
        <f>+J8+3</f>
        <v>51.39</v>
      </c>
      <c r="L8" s="9">
        <f>+K8+3</f>
        <v>54.39</v>
      </c>
      <c r="M8" s="9">
        <f>+L8+3</f>
        <v>57.39</v>
      </c>
    </row>
    <row r="9" spans="1:13" ht="16.5" customHeight="1">
      <c r="A9" s="83" t="s">
        <v>442</v>
      </c>
      <c r="B9" s="4"/>
      <c r="C9" s="9"/>
      <c r="D9" s="9">
        <v>788.06</v>
      </c>
      <c r="E9" s="9">
        <v>780.54</v>
      </c>
      <c r="F9" s="9">
        <v>780.54</v>
      </c>
      <c r="G9" s="9">
        <v>463.41</v>
      </c>
      <c r="H9" s="9">
        <v>463.41</v>
      </c>
      <c r="I9" s="9">
        <f>+H9-15.45</f>
        <v>447.96000000000004</v>
      </c>
      <c r="J9" s="9">
        <f t="shared" ref="J9:M9" si="2">+I9</f>
        <v>447.96000000000004</v>
      </c>
      <c r="K9" s="9">
        <f t="shared" si="2"/>
        <v>447.96000000000004</v>
      </c>
      <c r="L9" s="9">
        <f t="shared" si="2"/>
        <v>447.96000000000004</v>
      </c>
      <c r="M9" s="9">
        <f t="shared" si="2"/>
        <v>447.96000000000004</v>
      </c>
    </row>
    <row r="10" spans="1:13" ht="16.5" customHeight="1">
      <c r="A10" s="241" t="s">
        <v>504</v>
      </c>
      <c r="B10" s="4"/>
      <c r="C10" s="9"/>
      <c r="D10" s="9">
        <v>43.73</v>
      </c>
      <c r="E10" s="9">
        <v>131.13999999999999</v>
      </c>
      <c r="F10" s="9">
        <v>472</v>
      </c>
      <c r="G10" s="9">
        <v>678.99</v>
      </c>
      <c r="H10" s="9">
        <v>954.59</v>
      </c>
      <c r="I10" s="9">
        <f>+H10+('1a(RRB)'!H16*'1b'!I7*'1b'!I10)-(I8-H8)</f>
        <v>1258.4252597437228</v>
      </c>
      <c r="J10" s="9">
        <f>+I10+('1a(RRB)'!I16*'1b'!J7*'1b'!J10)-(J8-I8)</f>
        <v>1585.4374014039436</v>
      </c>
      <c r="K10" s="9">
        <f>+J10+('1a(RRB)'!J16*'1b'!K7*'1b'!K10)-(K8-J8)</f>
        <v>1998.3357474719687</v>
      </c>
      <c r="L10" s="9">
        <f>+K10+('1a(RRB)'!K16*'1b'!L7*'1b'!L10)-(L8-K8)</f>
        <v>2472.6323819817244</v>
      </c>
      <c r="M10" s="9">
        <f>+L10+('1a(RRB)'!L16*'1b'!M7*'1b'!M10)-(M8-L8)</f>
        <v>2973.831974344178</v>
      </c>
    </row>
    <row r="11" spans="1:13" s="62" customFormat="1" ht="16.5" customHeight="1">
      <c r="A11" s="237" t="s">
        <v>473</v>
      </c>
      <c r="B11" s="124"/>
      <c r="C11" s="123">
        <f t="shared" ref="C11:M11" si="3">SUM(C6:C10)</f>
        <v>0</v>
      </c>
      <c r="D11" s="123">
        <f t="shared" si="3"/>
        <v>1007.8599999999999</v>
      </c>
      <c r="E11" s="123">
        <f t="shared" si="3"/>
        <v>1090.79</v>
      </c>
      <c r="F11" s="123">
        <f t="shared" si="3"/>
        <v>1433.29</v>
      </c>
      <c r="G11" s="123">
        <f t="shared" si="3"/>
        <v>1325.6100000000001</v>
      </c>
      <c r="H11" s="123">
        <f t="shared" si="3"/>
        <v>1603.85</v>
      </c>
      <c r="I11" s="123">
        <f t="shared" si="3"/>
        <v>1895.235259743723</v>
      </c>
      <c r="J11" s="123">
        <f t="shared" si="3"/>
        <v>2225.2474014039435</v>
      </c>
      <c r="K11" s="123">
        <f t="shared" si="3"/>
        <v>2641.1457474719687</v>
      </c>
      <c r="L11" s="123">
        <f t="shared" si="3"/>
        <v>3118.4423819817243</v>
      </c>
      <c r="M11" s="123">
        <f t="shared" si="3"/>
        <v>3622.6419743441779</v>
      </c>
    </row>
    <row r="13" spans="1:13">
      <c r="H13" s="16"/>
      <c r="I13" s="16"/>
      <c r="J13" s="16"/>
      <c r="K13" s="16"/>
      <c r="L13" s="16"/>
      <c r="M13" s="16"/>
    </row>
    <row r="14" spans="1:13"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</row>
    <row r="16" spans="1:13">
      <c r="G16" s="16"/>
      <c r="H16" s="16"/>
    </row>
  </sheetData>
  <phoneticPr fontId="3" type="noConversion"/>
  <dataValidations count="1">
    <dataValidation type="decimal" allowBlank="1" showInputMessage="1" showErrorMessage="1" error="Enter in number format only" sqref="B5:B6">
      <formula1>-1000000000000000</formula1>
      <formula2>100000000000000000</formula2>
    </dataValidation>
  </dataValidations>
  <printOptions horizontalCentered="1"/>
  <pageMargins left="0.75" right="0.75" top="1" bottom="1" header="0.5" footer="0.5"/>
  <pageSetup paperSize="9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dimension ref="A1:M60"/>
  <sheetViews>
    <sheetView showGridLines="0" view="pageBreakPreview" zoomScaleSheetLayoutView="100" workbookViewId="0">
      <selection activeCell="A26" sqref="A26"/>
    </sheetView>
  </sheetViews>
  <sheetFormatPr defaultRowHeight="12.75"/>
  <cols>
    <col min="1" max="1" width="56.85546875" style="11" bestFit="1" customWidth="1"/>
    <col min="2" max="2" width="6.7109375" customWidth="1"/>
    <col min="3" max="3" width="7.5703125" hidden="1" customWidth="1"/>
    <col min="4" max="4" width="8.5703125" hidden="1" customWidth="1"/>
    <col min="5" max="5" width="8.28515625" hidden="1" customWidth="1"/>
    <col min="6" max="6" width="7.5703125" hidden="1" customWidth="1"/>
    <col min="7" max="7" width="11.7109375" customWidth="1"/>
    <col min="8" max="8" width="10.5703125" bestFit="1" customWidth="1"/>
    <col min="9" max="9" width="12.85546875" bestFit="1" customWidth="1"/>
    <col min="10" max="10" width="10.85546875" bestFit="1" customWidth="1"/>
    <col min="11" max="11" width="11.28515625" bestFit="1" customWidth="1"/>
    <col min="12" max="12" width="10" bestFit="1" customWidth="1"/>
  </cols>
  <sheetData>
    <row r="1" spans="1:12">
      <c r="A1" s="7"/>
    </row>
    <row r="2" spans="1:12">
      <c r="A2" s="7"/>
    </row>
    <row r="3" spans="1:12">
      <c r="A3" s="6" t="s">
        <v>199</v>
      </c>
      <c r="I3" t="s">
        <v>365</v>
      </c>
    </row>
    <row r="4" spans="1:12">
      <c r="A4" s="7"/>
    </row>
    <row r="5" spans="1:12" ht="30.75" customHeight="1">
      <c r="A5" s="29" t="s">
        <v>200</v>
      </c>
      <c r="B5" s="102" t="s">
        <v>12</v>
      </c>
      <c r="C5" s="103" t="s">
        <v>18</v>
      </c>
      <c r="D5" s="103" t="s">
        <v>19</v>
      </c>
      <c r="E5" s="103" t="s">
        <v>20</v>
      </c>
      <c r="F5" s="103" t="s">
        <v>21</v>
      </c>
      <c r="G5" s="164" t="s">
        <v>432</v>
      </c>
      <c r="H5" s="103" t="s">
        <v>433</v>
      </c>
      <c r="I5" s="103" t="s">
        <v>434</v>
      </c>
      <c r="J5" s="103" t="s">
        <v>435</v>
      </c>
      <c r="K5" s="103" t="s">
        <v>436</v>
      </c>
      <c r="L5" s="103" t="s">
        <v>437</v>
      </c>
    </row>
    <row r="6" spans="1:12">
      <c r="A6" s="163" t="s">
        <v>503</v>
      </c>
      <c r="B6" s="4"/>
      <c r="C6" s="9">
        <f>+('1a(RRB)'!C16*'1b'!D7*'1b'!D10)+'1.0'!C8</f>
        <v>98.770038861386126</v>
      </c>
      <c r="D6" s="9" t="e">
        <f>+('1a(RRB)'!D16*'1b'!E7*'1b'!E10)+'1.0'!D8</f>
        <v>#REF!</v>
      </c>
      <c r="E6" s="9" t="e">
        <f>+('1a(RRB)'!E16*'1b'!F7*'1b'!F10)+'1.0'!E8</f>
        <v>#REF!</v>
      </c>
      <c r="F6" s="9" t="e">
        <f>+('1a(RRB)'!F16*'1b'!G7*'1b'!G10)+'1.0'!F8</f>
        <v>#REF!</v>
      </c>
      <c r="G6" s="9">
        <f>+('1a(RRB)'!G16*'1b'!H7*'1b'!H10)+'1.0'!G8</f>
        <v>350.51903321917814</v>
      </c>
      <c r="H6" s="272">
        <f>+('1a(RRB)'!H16*'1b'!I7*'1b'!I10)+'1.0'!H8</f>
        <v>391.11608202770998</v>
      </c>
      <c r="I6" s="272">
        <f>+('1a(RRB)'!I16*'1b'!J7*'1b'!J10)+'1.0'!I8</f>
        <v>420.65913798669845</v>
      </c>
      <c r="J6" s="272">
        <f>+('1a(RRB)'!J16*'1b'!K7*'1b'!K10)+'1.0'!J8</f>
        <v>530.13637276169788</v>
      </c>
      <c r="K6" s="272">
        <f>+('1a(RRB)'!K16*'1b'!L7*'1b'!L10)+'1.0'!K8</f>
        <v>608.39940563019491</v>
      </c>
      <c r="L6" s="272">
        <f>+('1a(RRB)'!L16*'1b'!M7*'1b'!M10)+'1.0'!L8</f>
        <v>642.69200772257636</v>
      </c>
    </row>
    <row r="7" spans="1:12">
      <c r="A7" s="82" t="s">
        <v>201</v>
      </c>
      <c r="B7" s="4"/>
      <c r="C7" s="9">
        <f>+'1.0'!C6</f>
        <v>208.42</v>
      </c>
      <c r="D7" s="9">
        <f>+'1.0'!D6</f>
        <v>285.08999999999997</v>
      </c>
      <c r="E7" s="9">
        <f>+'1.0'!E6</f>
        <v>431.8499999999998</v>
      </c>
      <c r="F7" s="9">
        <f>+'1.0'!F6</f>
        <v>584.45000000000005</v>
      </c>
      <c r="G7" s="9">
        <f>'1.0'!G6</f>
        <v>738.85000000000014</v>
      </c>
      <c r="H7" s="272">
        <f>+'1.1(i) (BS)'!I7-'1.1(i) (BS)'!H7</f>
        <v>899.66400089776471</v>
      </c>
      <c r="I7" s="272">
        <f>+'1.1(i) (BS)'!J7-'1.1(i) (BS)'!I7</f>
        <v>1032.3525072806633</v>
      </c>
      <c r="J7" s="272">
        <f>+'1.1(i) (BS)'!K7-'1.1(i) (BS)'!J7</f>
        <v>1277.1427480401699</v>
      </c>
      <c r="K7" s="272">
        <f>+'1.1(i) (BS)'!L7-'1.1(i) (BS)'!K7</f>
        <v>1482.281477639227</v>
      </c>
      <c r="L7" s="272">
        <f>+'1.1(i) (BS)'!M7-'1.1(i) (BS)'!L7</f>
        <v>1666.3597152967395</v>
      </c>
    </row>
    <row r="8" spans="1:12">
      <c r="A8" s="82" t="s">
        <v>381</v>
      </c>
      <c r="B8" s="4"/>
      <c r="C8" s="193">
        <v>0</v>
      </c>
      <c r="D8" s="193">
        <v>0</v>
      </c>
      <c r="E8" s="193">
        <v>0</v>
      </c>
      <c r="F8" s="193">
        <v>0</v>
      </c>
      <c r="G8" s="193">
        <v>0</v>
      </c>
      <c r="H8" s="273">
        <v>0</v>
      </c>
      <c r="I8" s="273">
        <v>0</v>
      </c>
      <c r="J8" s="273">
        <v>0</v>
      </c>
      <c r="K8" s="273">
        <v>0</v>
      </c>
      <c r="L8" s="273">
        <v>0</v>
      </c>
    </row>
    <row r="9" spans="1:12">
      <c r="A9" s="36" t="s">
        <v>202</v>
      </c>
      <c r="B9" s="4"/>
      <c r="C9" s="193">
        <v>0</v>
      </c>
      <c r="D9" s="193">
        <v>0</v>
      </c>
      <c r="E9" s="193">
        <v>0</v>
      </c>
      <c r="F9" s="193">
        <v>0</v>
      </c>
      <c r="G9" s="193">
        <v>0</v>
      </c>
      <c r="H9" s="273">
        <v>0</v>
      </c>
      <c r="I9" s="273">
        <v>0</v>
      </c>
      <c r="J9" s="273">
        <v>0</v>
      </c>
      <c r="K9" s="273">
        <v>0</v>
      </c>
      <c r="L9" s="273">
        <v>0</v>
      </c>
    </row>
    <row r="10" spans="1:12">
      <c r="A10" s="36" t="s">
        <v>380</v>
      </c>
      <c r="B10" s="4"/>
      <c r="C10" s="9">
        <f>+'1.1g(Loan)'!$M104</f>
        <v>243.69000000000003</v>
      </c>
      <c r="D10" s="9">
        <f>+'1.1g(Loan)'!$M156</f>
        <v>352.01000000000005</v>
      </c>
      <c r="E10" s="9">
        <f>+'1.1g(Loan)'!$M208</f>
        <v>0</v>
      </c>
      <c r="F10" s="9">
        <f>+'1.1g(Loan)'!$M260</f>
        <v>0</v>
      </c>
      <c r="G10" s="9">
        <f>+'1.1g(Loan)'!$M312</f>
        <v>659.7700000000001</v>
      </c>
      <c r="H10" s="272">
        <f>+'1.1g(Loan)'!$M364</f>
        <v>816.53399999999999</v>
      </c>
      <c r="I10" s="272">
        <f>+'1.1g(Loan)'!$M416</f>
        <v>1046.56</v>
      </c>
      <c r="J10" s="272">
        <f>+'1.1g(Loan)'!$M468</f>
        <v>1208.6200000000001</v>
      </c>
      <c r="K10" s="272">
        <f>+'1.1g(Loan)'!$M520</f>
        <v>1258.1524999999999</v>
      </c>
      <c r="L10" s="272">
        <f>+'1.1g(Loan)'!$M572</f>
        <v>1224.4060000000002</v>
      </c>
    </row>
    <row r="11" spans="1:12">
      <c r="A11" s="36" t="s">
        <v>203</v>
      </c>
      <c r="B11" s="4"/>
      <c r="C11" s="4"/>
      <c r="D11" s="4"/>
      <c r="E11" s="4"/>
      <c r="F11" s="4"/>
      <c r="G11" s="193">
        <v>0</v>
      </c>
      <c r="H11" s="273">
        <v>0</v>
      </c>
      <c r="I11" s="273">
        <v>0</v>
      </c>
      <c r="J11" s="273">
        <v>0</v>
      </c>
      <c r="K11" s="273">
        <v>0</v>
      </c>
      <c r="L11" s="273">
        <v>0</v>
      </c>
    </row>
    <row r="12" spans="1:12">
      <c r="A12" s="80" t="s">
        <v>204</v>
      </c>
      <c r="B12" s="4"/>
      <c r="C12" s="9">
        <f>+C6+C7+C8+C9+C10+C11</f>
        <v>550.8800388613862</v>
      </c>
      <c r="D12" s="9" t="e">
        <f>+D6+D7+D8+D9+D10+D11</f>
        <v>#REF!</v>
      </c>
      <c r="E12" s="9" t="e">
        <f>+E6+E7+E8+E9+E10+E11</f>
        <v>#REF!</v>
      </c>
      <c r="F12" s="9" t="e">
        <f>+F6+F7+F8+F9+F10+F11</f>
        <v>#REF!</v>
      </c>
      <c r="G12" s="5">
        <f t="shared" ref="G12:L12" si="0">+G6+G7+G8+G9+G10+G11</f>
        <v>1749.1390332191781</v>
      </c>
      <c r="H12" s="8">
        <f t="shared" si="0"/>
        <v>2107.3140829254748</v>
      </c>
      <c r="I12" s="8">
        <f t="shared" si="0"/>
        <v>2499.5716452673614</v>
      </c>
      <c r="J12" s="8">
        <f t="shared" si="0"/>
        <v>3015.8991208018679</v>
      </c>
      <c r="K12" s="8">
        <f t="shared" si="0"/>
        <v>3348.8333832694216</v>
      </c>
      <c r="L12" s="8">
        <f t="shared" si="0"/>
        <v>3533.4577230193163</v>
      </c>
    </row>
    <row r="13" spans="1:12">
      <c r="A13" s="36" t="s">
        <v>426</v>
      </c>
      <c r="B13" s="4"/>
      <c r="C13" s="4">
        <f>+'1.1j(CA)'!D7-'1.1j(CA)'!C7</f>
        <v>258.86</v>
      </c>
      <c r="D13" s="9">
        <f>+'1.1j(CA)'!E11-'1.1j(CA)'!D11</f>
        <v>373.72999999999979</v>
      </c>
      <c r="E13" s="9">
        <f>+'1.1j(CA)'!F11-'1.1j(CA)'!E11</f>
        <v>672.95</v>
      </c>
      <c r="F13" s="9">
        <f>+'1.1j(CA)'!G11-'1.1j(CA)'!F11</f>
        <v>1389.9099999999999</v>
      </c>
      <c r="G13" s="9">
        <f>-('1.1j(CA)'!H7-'1.1j(CA)'!G7)</f>
        <v>359.16999999999996</v>
      </c>
      <c r="H13" s="273">
        <f>-(+'1.1j(CA)'!I7-'1.1j(CA)'!H7)</f>
        <v>49.889999999999986</v>
      </c>
      <c r="I13" s="273">
        <f>-(+'1.1j(CA)'!J7-'1.1j(CA)'!I7)</f>
        <v>-50</v>
      </c>
      <c r="J13" s="273">
        <f>-(+'1.1j(CA)'!K7-'1.1j(CA)'!J7)</f>
        <v>-50</v>
      </c>
      <c r="K13" s="273">
        <f>-(+'1.1j(CA)'!L7-'1.1j(CA)'!K7)</f>
        <v>-50</v>
      </c>
      <c r="L13" s="273">
        <f>-(+'1.1j(CA)'!M7-'1.1j(CA)'!L7)</f>
        <v>-50</v>
      </c>
    </row>
    <row r="14" spans="1:12">
      <c r="A14" s="36" t="s">
        <v>205</v>
      </c>
      <c r="B14" s="4"/>
      <c r="C14" s="9">
        <f>-'1.1j(CA)'!D6+'1.1j(CA)'!C6</f>
        <v>-224.34</v>
      </c>
      <c r="D14" s="193">
        <f>+'1.1j(CA)'!E6-'1.1j(CA)'!D6</f>
        <v>-34.640000000000015</v>
      </c>
      <c r="E14" s="193">
        <f>+'1.1j(CA)'!F6-'1.1j(CA)'!E6</f>
        <v>-104.65999999999997</v>
      </c>
      <c r="F14" s="193">
        <f>+'1.1j(CA)'!G6-'1.1j(CA)'!F6</f>
        <v>63.72999999999999</v>
      </c>
      <c r="G14" s="193">
        <f>-(+'1.1j(CA)'!H6-'1.1j(CA)'!G6)</f>
        <v>0.55000000000001137</v>
      </c>
      <c r="H14" s="273">
        <f>-(+'1.1j(CA)'!I6-'1.1j(CA)'!H6)</f>
        <v>-1.7800000000000011</v>
      </c>
      <c r="I14" s="273">
        <f>-(+'1.1j(CA)'!J6-'1.1j(CA)'!I6)</f>
        <v>-10</v>
      </c>
      <c r="J14" s="273">
        <f>-(+'1.1j(CA)'!K6-'1.1j(CA)'!J6)</f>
        <v>-10</v>
      </c>
      <c r="K14" s="273">
        <f>-(+'1.1j(CA)'!L6-'1.1j(CA)'!K6)</f>
        <v>-10</v>
      </c>
      <c r="L14" s="273">
        <f>-(+'1.1j(CA)'!M6-'1.1j(CA)'!L6)</f>
        <v>-20</v>
      </c>
    </row>
    <row r="15" spans="1:12">
      <c r="A15" s="163" t="s">
        <v>502</v>
      </c>
      <c r="B15" s="4"/>
      <c r="C15" s="9"/>
      <c r="D15" s="193"/>
      <c r="E15" s="193"/>
      <c r="F15" s="193"/>
      <c r="G15" s="193">
        <f>-('1.1j(CA)'!H9+'1.1j(CA)'!H10)+('1.1j(CA)'!G9+'1.1j(CA)'!G10)</f>
        <v>-100.65000000000009</v>
      </c>
      <c r="H15" s="273">
        <f>-(('1.1j(CA)'!I9+'1.1j(CA)'!I10)-('1.1j(CA)'!H9+'1.1j(CA)'!H10))</f>
        <v>1113.8599999999999</v>
      </c>
      <c r="I15" s="273">
        <f>-(('1.1j(CA)'!J9+'1.1j(CA)'!J10)-('1.1j(CA)'!I9+'1.1j(CA)'!I10))</f>
        <v>-25.199999999999818</v>
      </c>
      <c r="J15" s="273">
        <f>-(('1.1j(CA)'!K9+'1.1j(CA)'!K10)-('1.1j(CA)'!J9+'1.1j(CA)'!J10))</f>
        <v>162.79999999999995</v>
      </c>
      <c r="K15" s="273">
        <f>-(('1.1j(CA)'!L9+'1.1j(CA)'!L10)-('1.1j(CA)'!K9+'1.1j(CA)'!K10))</f>
        <v>-87.079999999999927</v>
      </c>
      <c r="L15" s="273">
        <f>-(('1.1j(CA)'!M9+'1.1j(CA)'!M10)-('1.1j(CA)'!L9+'1.1j(CA)'!L10))</f>
        <v>-100</v>
      </c>
    </row>
    <row r="16" spans="1:12">
      <c r="A16" s="36" t="s">
        <v>206</v>
      </c>
      <c r="B16" s="4"/>
      <c r="C16" s="193">
        <v>0</v>
      </c>
      <c r="D16" s="193">
        <v>0</v>
      </c>
      <c r="E16" s="193">
        <v>0</v>
      </c>
      <c r="F16" s="193">
        <v>0</v>
      </c>
      <c r="G16" s="193">
        <v>0</v>
      </c>
      <c r="H16" s="273">
        <v>0</v>
      </c>
      <c r="I16" s="273">
        <v>0</v>
      </c>
      <c r="J16" s="273">
        <v>0</v>
      </c>
      <c r="K16" s="273">
        <v>0</v>
      </c>
      <c r="L16" s="273">
        <v>0</v>
      </c>
    </row>
    <row r="17" spans="1:13">
      <c r="A17" s="36" t="s">
        <v>207</v>
      </c>
      <c r="B17" s="4"/>
      <c r="C17" s="193">
        <v>0</v>
      </c>
      <c r="D17" s="193">
        <v>0</v>
      </c>
      <c r="E17" s="193">
        <v>0</v>
      </c>
      <c r="F17" s="193">
        <v>0</v>
      </c>
      <c r="G17" s="193">
        <v>0</v>
      </c>
      <c r="H17" s="273">
        <v>0</v>
      </c>
      <c r="I17" s="273">
        <v>0</v>
      </c>
      <c r="J17" s="273">
        <v>0</v>
      </c>
      <c r="K17" s="273">
        <v>0</v>
      </c>
      <c r="L17" s="273">
        <v>0</v>
      </c>
    </row>
    <row r="18" spans="1:13">
      <c r="A18" s="163" t="s">
        <v>501</v>
      </c>
      <c r="B18" s="4"/>
      <c r="C18" s="9"/>
      <c r="D18" s="9"/>
      <c r="E18" s="9"/>
      <c r="F18" s="9"/>
      <c r="G18" s="278">
        <f>('1.1k(CL)'!H15-'1.1k(CL)'!G15)-G32-(G10-G42)+58.17</f>
        <v>-190.59000000000003</v>
      </c>
      <c r="H18" s="273">
        <f>+'1.1k(CL)'!I15-'1.1k(CL)'!H15-H32-(H10-H42)-58.4</f>
        <v>-939.29000000000065</v>
      </c>
      <c r="I18" s="273">
        <f>+'1.1k(CL)'!J15-'1.1k(CL)'!I15-I32-(I10-I42)</f>
        <v>1099.1400000000003</v>
      </c>
      <c r="J18" s="273">
        <f>+'1.1k(CL)'!K15-'1.1k(CL)'!J15-J32-(J10-J42)</f>
        <v>-791.40999999999985</v>
      </c>
      <c r="K18" s="273">
        <f>+'1.1k(CL)'!L15-'1.1k(CL)'!K15-K32-(K10-K42)</f>
        <v>-45.409999999999854</v>
      </c>
      <c r="L18" s="273">
        <f>+'1.1k(CL)'!M15-'1.1k(CL)'!L15-L32-(L10-L42)</f>
        <v>-2403.4400000000005</v>
      </c>
    </row>
    <row r="19" spans="1:13">
      <c r="A19" s="80" t="s">
        <v>208</v>
      </c>
      <c r="B19" s="4"/>
      <c r="C19" s="9">
        <f>+C12+C13+C14+C16+C17+C18</f>
        <v>585.40003886138618</v>
      </c>
      <c r="D19" s="9" t="e">
        <f>+D12+D13+D14+D16+D17+D18</f>
        <v>#REF!</v>
      </c>
      <c r="E19" s="9" t="e">
        <f>+E12+E13+E14+E16+E17+E18</f>
        <v>#REF!</v>
      </c>
      <c r="F19" s="9" t="e">
        <f>+F12+F13+F14+F16+F17+F18</f>
        <v>#REF!</v>
      </c>
      <c r="G19" s="5">
        <f>SUM(G12:G18)</f>
        <v>1817.6190332191782</v>
      </c>
      <c r="H19" s="8">
        <f>SUM(H12:H18)</f>
        <v>2329.9940829254738</v>
      </c>
      <c r="I19" s="8">
        <f t="shared" ref="I19:L19" si="1">SUM(I12:I18)</f>
        <v>3513.5116452673619</v>
      </c>
      <c r="J19" s="8">
        <f t="shared" si="1"/>
        <v>2327.2891208018682</v>
      </c>
      <c r="K19" s="8">
        <f t="shared" si="1"/>
        <v>3156.3433832694218</v>
      </c>
      <c r="L19" s="8">
        <f t="shared" si="1"/>
        <v>960.01772301931578</v>
      </c>
    </row>
    <row r="20" spans="1:13">
      <c r="A20" s="36" t="s">
        <v>209</v>
      </c>
      <c r="B20" s="4"/>
      <c r="C20" s="9">
        <f>+C10</f>
        <v>243.69000000000003</v>
      </c>
      <c r="D20" s="9">
        <f>+D10</f>
        <v>352.01000000000005</v>
      </c>
      <c r="E20" s="9">
        <f>+E10</f>
        <v>0</v>
      </c>
      <c r="F20" s="9">
        <f>+F10</f>
        <v>0</v>
      </c>
      <c r="G20" s="193">
        <v>0</v>
      </c>
      <c r="H20" s="273">
        <v>0</v>
      </c>
      <c r="I20" s="273">
        <v>0</v>
      </c>
      <c r="J20" s="273">
        <v>0</v>
      </c>
      <c r="K20" s="273">
        <v>0</v>
      </c>
      <c r="L20" s="273">
        <v>0</v>
      </c>
    </row>
    <row r="21" spans="1:13">
      <c r="A21" s="36" t="s">
        <v>210</v>
      </c>
      <c r="B21" s="4"/>
      <c r="C21" s="9">
        <f>+'1.0'!C8</f>
        <v>18.21</v>
      </c>
      <c r="D21" s="9" t="e">
        <f>+'1.0'!D8</f>
        <v>#REF!</v>
      </c>
      <c r="E21" s="9" t="e">
        <f>+'1.0'!E8</f>
        <v>#REF!</v>
      </c>
      <c r="F21" s="9" t="e">
        <f>+'1.0'!F8</f>
        <v>#REF!</v>
      </c>
      <c r="G21" s="9">
        <f>+'1.0'!G8</f>
        <v>75.53</v>
      </c>
      <c r="H21" s="272">
        <f>+'1.0'!H8</f>
        <v>84.280822283987177</v>
      </c>
      <c r="I21" s="272">
        <f>+'1.0'!I8</f>
        <v>90.646996326477691</v>
      </c>
      <c r="J21" s="272">
        <f>+'1.0'!J8</f>
        <v>114.23802669367277</v>
      </c>
      <c r="K21" s="272">
        <f>+'1.0'!K8</f>
        <v>131.10277112043946</v>
      </c>
      <c r="L21" s="272">
        <f>+'1.0'!L8</f>
        <v>138.49241536012255</v>
      </c>
    </row>
    <row r="22" spans="1:13">
      <c r="A22" s="36" t="s">
        <v>211</v>
      </c>
      <c r="B22" s="4"/>
      <c r="C22" s="4"/>
      <c r="D22" s="4"/>
      <c r="E22" s="4"/>
      <c r="F22" s="4"/>
      <c r="G22" s="193">
        <v>0</v>
      </c>
      <c r="H22" s="193">
        <v>0</v>
      </c>
      <c r="I22" s="193">
        <v>0</v>
      </c>
      <c r="J22" s="193">
        <v>0</v>
      </c>
      <c r="K22" s="193">
        <v>0</v>
      </c>
      <c r="L22" s="193">
        <v>0</v>
      </c>
    </row>
    <row r="23" spans="1:13">
      <c r="A23" s="29" t="s">
        <v>212</v>
      </c>
      <c r="B23" s="77"/>
      <c r="C23" s="38">
        <f>C19-C20-C21+C22</f>
        <v>323.50003886138614</v>
      </c>
      <c r="D23" s="38" t="e">
        <f>D19-D20-D21+D22</f>
        <v>#REF!</v>
      </c>
      <c r="E23" s="38" t="e">
        <f>E19-E20-E21+E22</f>
        <v>#REF!</v>
      </c>
      <c r="F23" s="38" t="e">
        <f>F19-F20-F21+F22</f>
        <v>#REF!</v>
      </c>
      <c r="G23" s="38">
        <f>+G19-G20-G21-G22</f>
        <v>1742.0890332191782</v>
      </c>
      <c r="H23" s="38">
        <f t="shared" ref="H23:L23" si="2">+H19-H20-H21-H22</f>
        <v>2245.7132606414866</v>
      </c>
      <c r="I23" s="38">
        <f t="shared" si="2"/>
        <v>3422.8646489408843</v>
      </c>
      <c r="J23" s="38">
        <f t="shared" si="2"/>
        <v>2213.0510941081952</v>
      </c>
      <c r="K23" s="38">
        <f t="shared" si="2"/>
        <v>3025.2406121489821</v>
      </c>
      <c r="L23" s="38">
        <f t="shared" si="2"/>
        <v>821.52530765919323</v>
      </c>
    </row>
    <row r="24" spans="1:13">
      <c r="A24" s="81" t="s">
        <v>213</v>
      </c>
      <c r="B24" s="77"/>
      <c r="C24" s="77"/>
      <c r="D24" s="77"/>
      <c r="E24" s="77"/>
      <c r="F24" s="77"/>
      <c r="G24" s="77"/>
      <c r="H24" s="77"/>
      <c r="I24" s="77"/>
      <c r="J24" s="77"/>
      <c r="K24" s="77"/>
      <c r="L24" s="77"/>
    </row>
    <row r="25" spans="1:13">
      <c r="A25" s="36" t="s">
        <v>214</v>
      </c>
      <c r="B25" s="4"/>
      <c r="C25" s="193">
        <v>0</v>
      </c>
      <c r="D25" s="193">
        <f>+C25</f>
        <v>0</v>
      </c>
      <c r="E25" s="193">
        <f t="shared" ref="E25:L25" si="3">+D25</f>
        <v>0</v>
      </c>
      <c r="F25" s="193">
        <f t="shared" si="3"/>
        <v>0</v>
      </c>
      <c r="G25" s="193">
        <f t="shared" si="3"/>
        <v>0</v>
      </c>
      <c r="H25" s="193">
        <f t="shared" si="3"/>
        <v>0</v>
      </c>
      <c r="I25" s="193">
        <f t="shared" si="3"/>
        <v>0</v>
      </c>
      <c r="J25" s="193">
        <f t="shared" si="3"/>
        <v>0</v>
      </c>
      <c r="K25" s="193">
        <f t="shared" si="3"/>
        <v>0</v>
      </c>
      <c r="L25" s="193">
        <f t="shared" si="3"/>
        <v>0</v>
      </c>
    </row>
    <row r="26" spans="1:13">
      <c r="A26" s="36" t="s">
        <v>215</v>
      </c>
      <c r="B26" s="4"/>
      <c r="C26" s="9">
        <f>+'1.1(i) (BS)'!D6-'1.1(i) (BS)'!C6</f>
        <v>5509.4700000000012</v>
      </c>
      <c r="D26" s="9">
        <f>+'1.1(i) (BS)'!E6-'1.1(i) (BS)'!D6</f>
        <v>1947.3799999999992</v>
      </c>
      <c r="E26" s="9">
        <f>+'1.1(i) (BS)'!F6-'1.1(i) (BS)'!E6</f>
        <v>1789.2100000000009</v>
      </c>
      <c r="F26" s="9">
        <f>+'1.1(i) (BS)'!G6-'1.1(i) (BS)'!F6</f>
        <v>1982.1999999999971</v>
      </c>
      <c r="G26" s="272">
        <f>+('1.1(i) (BS)'!H6-'1.1(i) (BS)'!G6)+('1.1(i) (BS)'!H9-'1.1(i) (BS)'!G9)+0.08</f>
        <v>3547.49</v>
      </c>
      <c r="H26" s="272">
        <f>+('1.1(i) (BS)'!I6-'1.1(i) (BS)'!H6)+('1.1(i) (BS)'!I9-'1.1(i) (BS)'!H9)</f>
        <v>3521.6684347222281</v>
      </c>
      <c r="I26" s="272">
        <f>+('1.1(i) (BS)'!J6-'1.1(i) (BS)'!I6)+('1.1(i) (BS)'!J9-'1.1(i) (BS)'!I9)</f>
        <v>3968.1964406944444</v>
      </c>
      <c r="J26" s="272">
        <f>+('1.1(i) (BS)'!K6-'1.1(i) (BS)'!J6)+('1.1(i) (BS)'!K9-'1.1(i) (BS)'!J9)</f>
        <v>3120.9263411111097</v>
      </c>
      <c r="K26" s="272">
        <f>+('1.1(i) (BS)'!L6-'1.1(i) (BS)'!K6)+('1.1(i) (BS)'!L9-'1.1(i) (BS)'!K9)</f>
        <v>1669.5716869166654</v>
      </c>
      <c r="L26" s="272">
        <f>+('1.1(i) (BS)'!M6-'1.1(i) (BS)'!L6)+('1.1(i) (BS)'!M9-'1.1(i) (BS)'!L9)</f>
        <v>1397.9098454277764</v>
      </c>
      <c r="M26" s="274"/>
    </row>
    <row r="27" spans="1:13">
      <c r="A27" s="36" t="s">
        <v>216</v>
      </c>
      <c r="B27" s="4"/>
      <c r="C27" s="193">
        <v>0</v>
      </c>
      <c r="D27" s="193">
        <v>0</v>
      </c>
      <c r="E27" s="193">
        <v>0</v>
      </c>
      <c r="F27" s="193">
        <v>0</v>
      </c>
      <c r="G27" s="193">
        <v>0</v>
      </c>
      <c r="H27" s="193">
        <v>0</v>
      </c>
      <c r="I27" s="193">
        <v>0</v>
      </c>
      <c r="J27" s="193">
        <v>0</v>
      </c>
      <c r="K27" s="193">
        <v>0</v>
      </c>
      <c r="L27" s="193">
        <v>0</v>
      </c>
    </row>
    <row r="28" spans="1:13">
      <c r="A28" s="36" t="s">
        <v>217</v>
      </c>
      <c r="B28" s="4"/>
      <c r="C28" s="4"/>
      <c r="D28" s="4"/>
      <c r="E28" s="4"/>
      <c r="F28" s="4"/>
      <c r="G28" s="9"/>
      <c r="H28" s="9"/>
      <c r="I28" s="9"/>
      <c r="J28" s="9"/>
      <c r="K28" s="9"/>
      <c r="L28" s="9"/>
    </row>
    <row r="29" spans="1:13">
      <c r="A29" s="36" t="s">
        <v>218</v>
      </c>
      <c r="B29" s="4"/>
      <c r="C29" s="193">
        <v>0</v>
      </c>
      <c r="D29" s="193">
        <v>0</v>
      </c>
      <c r="E29" s="193">
        <v>0</v>
      </c>
      <c r="F29" s="193">
        <v>0</v>
      </c>
      <c r="G29" s="193">
        <v>0</v>
      </c>
      <c r="H29" s="193">
        <v>0</v>
      </c>
      <c r="I29" s="193">
        <v>0</v>
      </c>
      <c r="J29" s="193">
        <v>0</v>
      </c>
      <c r="K29" s="193">
        <v>0</v>
      </c>
      <c r="L29" s="193">
        <v>0</v>
      </c>
    </row>
    <row r="30" spans="1:13">
      <c r="A30" s="36" t="s">
        <v>219</v>
      </c>
      <c r="B30" s="4"/>
      <c r="C30" s="9">
        <f>+'1.1(i) (BS)'!D11-'1.1(i) (BS)'!C11</f>
        <v>388.98</v>
      </c>
      <c r="D30" s="9">
        <f>+'1.1(i) (BS)'!E11-'1.1(i) (BS)'!D11</f>
        <v>-15.890000000000043</v>
      </c>
      <c r="E30" s="9">
        <f>+'1.1(i) (BS)'!F11-'1.1(i) (BS)'!E11</f>
        <v>-1.9399999999999977</v>
      </c>
      <c r="F30" s="9">
        <f>+'1.1(i) (BS)'!G11-'1.1(i) (BS)'!F11</f>
        <v>2.160000000000025</v>
      </c>
      <c r="G30" s="193">
        <f>+'1.1(i) (BS)'!H11-'1.1(i) (BS)'!G11</f>
        <v>0</v>
      </c>
      <c r="H30" s="193">
        <v>0</v>
      </c>
      <c r="I30" s="193">
        <f>+'1.1(i) (BS)'!J11-'1.1(i) (BS)'!I11</f>
        <v>0</v>
      </c>
      <c r="J30" s="193">
        <f>+'1.1(i) (BS)'!K11-'1.1(i) (BS)'!J11</f>
        <v>0</v>
      </c>
      <c r="K30" s="193">
        <f>+'1.1(i) (BS)'!L11-'1.1(i) (BS)'!K11</f>
        <v>0</v>
      </c>
      <c r="L30" s="193">
        <f>+'1.1(i) (BS)'!M11-'1.1(i) (BS)'!L11</f>
        <v>0</v>
      </c>
    </row>
    <row r="31" spans="1:13">
      <c r="A31" s="36" t="s">
        <v>220</v>
      </c>
      <c r="B31" s="4"/>
      <c r="C31" s="193">
        <v>0</v>
      </c>
      <c r="D31" s="193">
        <v>0</v>
      </c>
      <c r="E31" s="193">
        <v>0</v>
      </c>
      <c r="F31" s="193">
        <v>0</v>
      </c>
      <c r="G31" s="193">
        <v>0</v>
      </c>
      <c r="H31" s="193">
        <v>0</v>
      </c>
      <c r="I31" s="193">
        <v>0</v>
      </c>
      <c r="J31" s="193">
        <v>0</v>
      </c>
      <c r="K31" s="193">
        <v>0</v>
      </c>
      <c r="L31" s="193">
        <v>0</v>
      </c>
    </row>
    <row r="32" spans="1:13">
      <c r="A32" s="36" t="s">
        <v>221</v>
      </c>
      <c r="B32" s="4"/>
      <c r="C32" s="4"/>
      <c r="D32" s="4">
        <f>+'1.1k(CL)'!E7-'1.1k(CL)'!D7</f>
        <v>213.24</v>
      </c>
      <c r="E32" s="4">
        <f>+'1.1k(CL)'!F7-'1.1k(CL)'!E7</f>
        <v>-155.76000000000002</v>
      </c>
      <c r="F32" s="4">
        <f>+'1.1k(CL)'!G7-'1.1k(CL)'!F7</f>
        <v>204.41</v>
      </c>
      <c r="G32" s="193">
        <v>-129.83000000000001</v>
      </c>
      <c r="H32" s="4">
        <f>+'1.1k(CL)'!I7-'1.1k(CL)'!H7</f>
        <v>7.0800000000000125</v>
      </c>
      <c r="I32" s="9">
        <f>+'1.1k(CL)'!J7-'1.1k(CL)'!I7</f>
        <v>20</v>
      </c>
      <c r="J32" s="9">
        <f>+'1.1k(CL)'!K7-'1.1k(CL)'!J7</f>
        <v>20</v>
      </c>
      <c r="K32" s="9">
        <f>+'1.1k(CL)'!L7-'1.1k(CL)'!K7</f>
        <v>20</v>
      </c>
      <c r="L32" s="9">
        <f>+'1.1k(CL)'!M7-'1.1k(CL)'!L7</f>
        <v>20</v>
      </c>
    </row>
    <row r="33" spans="1:12">
      <c r="A33" s="36" t="s">
        <v>222</v>
      </c>
      <c r="B33" s="4"/>
      <c r="C33" s="78"/>
      <c r="D33" s="78"/>
      <c r="E33" s="78"/>
      <c r="F33" s="78"/>
      <c r="G33" s="240">
        <v>0</v>
      </c>
      <c r="H33" s="240">
        <v>0</v>
      </c>
      <c r="I33" s="240">
        <v>0</v>
      </c>
      <c r="J33" s="240">
        <v>0</v>
      </c>
      <c r="K33" s="240">
        <v>0</v>
      </c>
      <c r="L33" s="240">
        <v>0</v>
      </c>
    </row>
    <row r="34" spans="1:12">
      <c r="A34" s="29" t="s">
        <v>223</v>
      </c>
      <c r="B34" s="77"/>
      <c r="C34" s="38">
        <f>(C25+C26+C27-C28-C29+C30-C31-C32-C33)</f>
        <v>5898.4500000000007</v>
      </c>
      <c r="D34" s="38">
        <f>(D25+D26+D27-D28-D29+D30-D31-D32-D33)</f>
        <v>1718.2499999999991</v>
      </c>
      <c r="E34" s="38">
        <f>(E25+E26+E27-E28-E29+E30-E31-E32-E33)</f>
        <v>1943.0300000000009</v>
      </c>
      <c r="F34" s="38">
        <f>(F25+F26+F27-F28-F29+F30-F31-F32-F33)</f>
        <v>1779.9499999999971</v>
      </c>
      <c r="G34" s="38">
        <f>+G26+G30-G28-G32</f>
        <v>3677.3199999999997</v>
      </c>
      <c r="H34" s="38">
        <f>+H26+H30-H28-H32-H33</f>
        <v>3514.5884347222282</v>
      </c>
      <c r="I34" s="38">
        <f t="shared" ref="I34:L34" si="4">+I26+I30-I28-I32-I33</f>
        <v>3948.1964406944444</v>
      </c>
      <c r="J34" s="38">
        <f t="shared" si="4"/>
        <v>3100.9263411111097</v>
      </c>
      <c r="K34" s="38">
        <f t="shared" si="4"/>
        <v>1649.5716869166654</v>
      </c>
      <c r="L34" s="38">
        <f t="shared" si="4"/>
        <v>1377.9098454277764</v>
      </c>
    </row>
    <row r="35" spans="1:12">
      <c r="A35" s="36"/>
      <c r="B35" s="4"/>
      <c r="C35" s="79"/>
      <c r="D35" s="79"/>
      <c r="E35" s="79"/>
      <c r="F35" s="79"/>
      <c r="G35" s="79"/>
      <c r="H35" s="79"/>
      <c r="I35" s="79"/>
      <c r="J35" s="79"/>
      <c r="K35" s="79"/>
      <c r="L35" s="79"/>
    </row>
    <row r="36" spans="1:12">
      <c r="A36" s="81" t="s">
        <v>224</v>
      </c>
      <c r="B36" s="77"/>
      <c r="C36" s="77"/>
      <c r="D36" s="77"/>
      <c r="E36" s="77"/>
      <c r="F36" s="77"/>
      <c r="G36" s="77"/>
      <c r="H36" s="77"/>
      <c r="I36" s="77"/>
      <c r="J36" s="77"/>
      <c r="K36" s="77"/>
      <c r="L36" s="77"/>
    </row>
    <row r="37" spans="1:12">
      <c r="A37" s="36" t="s">
        <v>225</v>
      </c>
      <c r="B37" s="4"/>
      <c r="C37" s="193">
        <v>0</v>
      </c>
      <c r="D37" s="193">
        <v>0</v>
      </c>
      <c r="E37" s="193">
        <v>0</v>
      </c>
      <c r="F37" s="193">
        <v>0</v>
      </c>
      <c r="G37" s="193">
        <v>0</v>
      </c>
      <c r="H37" s="193">
        <v>0</v>
      </c>
      <c r="I37" s="193">
        <v>0</v>
      </c>
      <c r="J37" s="193">
        <v>0</v>
      </c>
      <c r="K37" s="193">
        <v>0</v>
      </c>
      <c r="L37" s="193">
        <v>0</v>
      </c>
    </row>
    <row r="38" spans="1:12">
      <c r="A38" s="36" t="s">
        <v>226</v>
      </c>
      <c r="B38" s="4"/>
      <c r="C38" s="9">
        <f>+'1.1g(Loan)'!J104</f>
        <v>855.69</v>
      </c>
      <c r="D38" s="9">
        <f>+'1.1g(Loan)'!J156</f>
        <v>1115.5899999999997</v>
      </c>
      <c r="E38" s="9">
        <f>+'1.1g(Loan)'!J208</f>
        <v>1654.72</v>
      </c>
      <c r="F38" s="9">
        <f>+'1.1g(Loan)'!J260</f>
        <v>2325.1799999999998</v>
      </c>
      <c r="G38" s="272">
        <f>+'1.1g(Loan)'!J312</f>
        <v>2637.34</v>
      </c>
      <c r="H38" s="272">
        <f>+'1.1g(Loan)'!J364</f>
        <v>1845.85</v>
      </c>
      <c r="I38" s="272">
        <f>+'1.1g(Loan)'!J416</f>
        <v>2256.09</v>
      </c>
      <c r="J38" s="272">
        <f>+'1.1g(Loan)'!J468</f>
        <v>1798.29</v>
      </c>
      <c r="K38" s="272">
        <f>+'1.1g(Loan)'!J520</f>
        <v>1087.82</v>
      </c>
      <c r="L38" s="272">
        <f>+'1.1g(Loan)'!J572</f>
        <v>918.07999999999993</v>
      </c>
    </row>
    <row r="39" spans="1:12">
      <c r="A39" s="36" t="s">
        <v>227</v>
      </c>
      <c r="B39" s="4"/>
      <c r="C39" s="9">
        <f>+'1.1g(Loan)'!K104</f>
        <v>267.09000000000003</v>
      </c>
      <c r="D39" s="9">
        <f>+'1.1g(Loan)'!K156</f>
        <v>304.94000000000005</v>
      </c>
      <c r="E39" s="9">
        <f>+'1.1g(Loan)'!K208</f>
        <v>297.63000000000005</v>
      </c>
      <c r="F39" s="9">
        <f>+'1.1g(Loan)'!K260</f>
        <v>468.98999999999995</v>
      </c>
      <c r="G39" s="272">
        <f>+'1.1g(Loan)'!K312</f>
        <v>1390.2799999999995</v>
      </c>
      <c r="H39" s="272">
        <f>+'1.1g(Loan)'!K364</f>
        <v>1431.81</v>
      </c>
      <c r="I39" s="272">
        <f>+'1.1g(Loan)'!K416</f>
        <v>586.0100000000001</v>
      </c>
      <c r="J39" s="272">
        <f>+'1.1g(Loan)'!K468</f>
        <v>684.34</v>
      </c>
      <c r="K39" s="272">
        <f>+'1.1g(Loan)'!K520</f>
        <v>854.83</v>
      </c>
      <c r="L39" s="272">
        <f>+'1.1g(Loan)'!K572</f>
        <v>977.81999999999994</v>
      </c>
    </row>
    <row r="40" spans="1:12">
      <c r="A40" s="36" t="s">
        <v>228</v>
      </c>
      <c r="B40" s="4"/>
      <c r="C40" s="193">
        <v>0</v>
      </c>
      <c r="D40" s="193">
        <v>0</v>
      </c>
      <c r="E40" s="193">
        <v>0</v>
      </c>
      <c r="F40" s="193">
        <v>0</v>
      </c>
      <c r="G40" s="272">
        <v>1344.69</v>
      </c>
      <c r="H40" s="272">
        <f>+'1.1(i) (BS)'!I29-'1.1(i) (BS)'!H29</f>
        <v>1675.3499999999997</v>
      </c>
      <c r="I40" s="272">
        <f>+'1.1(i) (BS)'!J29-'1.1(i) (BS)'!I29</f>
        <v>-98.190000000000055</v>
      </c>
      <c r="J40" s="272">
        <f>+'1.1(i) (BS)'!K29-'1.1(i) (BS)'!J29</f>
        <v>982.55000000000018</v>
      </c>
      <c r="K40" s="272">
        <f>+'1.1(i) (BS)'!L29-'1.1(i) (BS)'!K29</f>
        <v>-350.51000000000022</v>
      </c>
      <c r="L40" s="272">
        <f>+'1.1(i) (BS)'!M29-'1.1(i) (BS)'!L29</f>
        <v>1840.5300000000007</v>
      </c>
    </row>
    <row r="41" spans="1:12">
      <c r="A41" s="36" t="s">
        <v>229</v>
      </c>
      <c r="B41" s="4"/>
      <c r="C41" s="193">
        <v>0</v>
      </c>
      <c r="D41" s="193">
        <v>0</v>
      </c>
      <c r="E41" s="193">
        <v>0</v>
      </c>
      <c r="F41" s="193">
        <v>0</v>
      </c>
      <c r="G41" s="273">
        <v>0</v>
      </c>
      <c r="H41" s="273">
        <v>0</v>
      </c>
      <c r="I41" s="273">
        <v>0</v>
      </c>
      <c r="J41" s="273">
        <v>0</v>
      </c>
      <c r="K41" s="273">
        <v>0</v>
      </c>
      <c r="L41" s="273">
        <v>0</v>
      </c>
    </row>
    <row r="42" spans="1:12">
      <c r="A42" s="36" t="s">
        <v>230</v>
      </c>
      <c r="B42" s="4"/>
      <c r="C42" s="9"/>
      <c r="D42" s="9"/>
      <c r="E42" s="9"/>
      <c r="F42" s="9"/>
      <c r="G42" s="9">
        <f>+G10+36.42-'1.1k(CL)'!H13</f>
        <v>651.3900000000001</v>
      </c>
      <c r="H42" s="9">
        <f>+H10+'1.1k(CL)'!H13-'1.1k(CL)'!I13</f>
        <v>811.33399999999995</v>
      </c>
      <c r="I42" s="9">
        <f>+I10+'1.1k(CL)'!I13-'1.1k(CL)'!J13</f>
        <v>1036.56</v>
      </c>
      <c r="J42" s="9">
        <f>+J10+'1.1k(CL)'!J13-'1.1k(CL)'!K13</f>
        <v>1198.6200000000001</v>
      </c>
      <c r="K42" s="9">
        <f>+K10+'1.1k(CL)'!K13-'1.1k(CL)'!L13</f>
        <v>1248.1524999999999</v>
      </c>
      <c r="L42" s="9">
        <f>+L10+'1.1k(CL)'!L13-'1.1k(CL)'!M13</f>
        <v>1214.4060000000002</v>
      </c>
    </row>
    <row r="43" spans="1:12">
      <c r="A43" s="36" t="s">
        <v>231</v>
      </c>
      <c r="B43" s="4"/>
      <c r="C43" s="193">
        <v>0</v>
      </c>
      <c r="D43" s="193">
        <v>0</v>
      </c>
      <c r="E43" s="193">
        <v>0</v>
      </c>
      <c r="F43" s="193">
        <v>0</v>
      </c>
      <c r="G43" s="193">
        <v>0</v>
      </c>
      <c r="H43" s="193">
        <v>0</v>
      </c>
      <c r="I43" s="193">
        <v>0</v>
      </c>
      <c r="J43" s="193">
        <v>0</v>
      </c>
      <c r="K43" s="193">
        <v>0</v>
      </c>
      <c r="L43" s="193">
        <v>0</v>
      </c>
    </row>
    <row r="44" spans="1:12">
      <c r="A44" s="29" t="s">
        <v>232</v>
      </c>
      <c r="B44" s="77"/>
      <c r="C44" s="38">
        <f>C37+C38-C39-C41-C42-C43+C40</f>
        <v>588.6</v>
      </c>
      <c r="D44" s="38">
        <f t="shared" ref="D44:F44" si="5">D37+D38-D39-D41-D42-D43+D40</f>
        <v>810.64999999999964</v>
      </c>
      <c r="E44" s="38">
        <f t="shared" si="5"/>
        <v>1357.09</v>
      </c>
      <c r="F44" s="38">
        <f t="shared" si="5"/>
        <v>1856.1899999999998</v>
      </c>
      <c r="G44" s="38">
        <f>G37+G38-G39-G41-G42-G43+G40</f>
        <v>1940.3600000000006</v>
      </c>
      <c r="H44" s="38">
        <f t="shared" ref="H44:L44" si="6">H37+H38-H39-H41-H42-H43+H40</f>
        <v>1278.0559999999996</v>
      </c>
      <c r="I44" s="38">
        <f t="shared" si="6"/>
        <v>535.32999999999993</v>
      </c>
      <c r="J44" s="38">
        <f t="shared" si="6"/>
        <v>897.87999999999988</v>
      </c>
      <c r="K44" s="229">
        <f t="shared" si="6"/>
        <v>-1365.6725000000001</v>
      </c>
      <c r="L44" s="38">
        <f t="shared" si="6"/>
        <v>566.38400000000047</v>
      </c>
    </row>
    <row r="45" spans="1:12">
      <c r="A45" s="36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</row>
    <row r="46" spans="1:12">
      <c r="A46" s="29" t="s">
        <v>233</v>
      </c>
      <c r="B46" s="77"/>
      <c r="C46" s="77"/>
      <c r="D46" s="77"/>
      <c r="E46" s="77"/>
      <c r="F46" s="77"/>
      <c r="G46" s="77"/>
      <c r="H46" s="77"/>
      <c r="I46" s="77"/>
      <c r="J46" s="77"/>
      <c r="K46" s="77"/>
      <c r="L46" s="77"/>
    </row>
    <row r="47" spans="1:12">
      <c r="A47" s="36" t="s">
        <v>234</v>
      </c>
      <c r="B47" s="4"/>
      <c r="C47" s="9"/>
      <c r="D47" s="9">
        <f>+C48</f>
        <v>47.9</v>
      </c>
      <c r="E47" s="9">
        <f t="shared" ref="E47:L47" si="7">+D48</f>
        <v>44.96</v>
      </c>
      <c r="F47" s="9">
        <f t="shared" si="7"/>
        <v>65.7</v>
      </c>
      <c r="G47" s="9">
        <f>+F48</f>
        <v>105.69</v>
      </c>
      <c r="H47" s="9">
        <f t="shared" si="7"/>
        <v>110.82</v>
      </c>
      <c r="I47" s="9">
        <f t="shared" si="7"/>
        <v>120</v>
      </c>
      <c r="J47" s="9">
        <f t="shared" si="7"/>
        <v>130</v>
      </c>
      <c r="K47" s="9">
        <f t="shared" si="7"/>
        <v>140</v>
      </c>
      <c r="L47" s="9">
        <f t="shared" si="7"/>
        <v>150</v>
      </c>
    </row>
    <row r="48" spans="1:12">
      <c r="A48" s="36" t="s">
        <v>235</v>
      </c>
      <c r="B48" s="4"/>
      <c r="C48" s="9">
        <f>+'1.1j(CA)'!D8</f>
        <v>47.9</v>
      </c>
      <c r="D48" s="9">
        <f>+'1.1j(CA)'!E8</f>
        <v>44.96</v>
      </c>
      <c r="E48" s="9">
        <f>+'1.1j(CA)'!F8</f>
        <v>65.7</v>
      </c>
      <c r="F48" s="9">
        <f>+'1.1j(CA)'!G8</f>
        <v>105.69</v>
      </c>
      <c r="G48" s="9">
        <f>+'1.1j(CA)'!H8</f>
        <v>110.82</v>
      </c>
      <c r="H48" s="9">
        <f>+'1.1j(CA)'!I8</f>
        <v>120</v>
      </c>
      <c r="I48" s="9">
        <f>+'1.1j(CA)'!J8</f>
        <v>130</v>
      </c>
      <c r="J48" s="9">
        <f>+'1.1j(CA)'!K8</f>
        <v>140</v>
      </c>
      <c r="K48" s="9">
        <f>+'1.1j(CA)'!L8</f>
        <v>150</v>
      </c>
      <c r="L48" s="9">
        <f>+'1.1j(CA)'!M8</f>
        <v>160</v>
      </c>
    </row>
    <row r="50" spans="7:13">
      <c r="G50" s="16"/>
      <c r="H50" s="274"/>
      <c r="I50" s="274"/>
      <c r="J50" s="274"/>
      <c r="K50" s="274"/>
      <c r="L50" s="274"/>
      <c r="M50" s="113"/>
    </row>
    <row r="51" spans="7:13">
      <c r="G51" s="16"/>
      <c r="H51" s="16"/>
      <c r="I51" s="16"/>
      <c r="J51" s="16"/>
      <c r="K51" s="16"/>
      <c r="L51" s="16"/>
    </row>
    <row r="52" spans="7:13">
      <c r="H52" s="16"/>
      <c r="I52" s="16"/>
      <c r="J52" s="16"/>
      <c r="K52" s="16"/>
      <c r="L52" s="16"/>
    </row>
    <row r="55" spans="7:13">
      <c r="G55" s="16"/>
      <c r="H55" s="16"/>
      <c r="I55" s="16"/>
      <c r="J55" s="16"/>
      <c r="K55" s="16"/>
      <c r="L55" s="16"/>
    </row>
    <row r="56" spans="7:13">
      <c r="G56" s="16"/>
      <c r="H56" s="16"/>
      <c r="I56" s="16"/>
      <c r="J56" s="16"/>
      <c r="K56" s="16"/>
      <c r="L56" s="16"/>
    </row>
    <row r="59" spans="7:13">
      <c r="G59" s="16"/>
      <c r="H59" s="16"/>
      <c r="I59" s="16"/>
      <c r="J59" s="16"/>
      <c r="K59" s="16"/>
      <c r="L59" s="16"/>
      <c r="M59" s="16"/>
    </row>
    <row r="60" spans="7:13">
      <c r="G60" s="16"/>
      <c r="H60" s="16"/>
      <c r="I60" s="16"/>
      <c r="J60" s="16"/>
      <c r="K60" s="16"/>
      <c r="L60" s="16"/>
      <c r="M60" s="16"/>
    </row>
  </sheetData>
  <phoneticPr fontId="3" type="noConversion"/>
  <dataValidations count="2">
    <dataValidation type="decimal" allowBlank="1" showInputMessage="1" showErrorMessage="1" error="Enter in number format only" sqref="B5">
      <formula1>-1000000000000000</formula1>
      <formula2>100000000000000000</formula2>
    </dataValidation>
    <dataValidation type="decimal" allowBlank="1" showInputMessage="1" showErrorMessage="1" sqref="C44:L44 C34:L34 C23:L23">
      <formula1>-100000000000000</formula1>
      <formula2>1000000000000000</formula2>
    </dataValidation>
  </dataValidations>
  <printOptions horizontalCentered="1"/>
  <pageMargins left="0.37" right="0.19" top="0.78" bottom="0.67" header="0.27" footer="0.2"/>
  <pageSetup scale="83" orientation="landscape" verticalDpi="4294967295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X20"/>
  <sheetViews>
    <sheetView showGridLines="0" view="pageBreakPreview" zoomScaleSheetLayoutView="100" workbookViewId="0">
      <selection activeCell="L17" sqref="L17"/>
    </sheetView>
  </sheetViews>
  <sheetFormatPr defaultRowHeight="12.75"/>
  <cols>
    <col min="1" max="1" width="43.42578125" customWidth="1"/>
    <col min="2" max="2" width="8" hidden="1" customWidth="1"/>
    <col min="3" max="6" width="8.42578125" hidden="1" customWidth="1"/>
    <col min="7" max="7" width="12.140625" bestFit="1" customWidth="1"/>
    <col min="8" max="8" width="10.85546875" bestFit="1" customWidth="1"/>
    <col min="9" max="11" width="11.28515625" bestFit="1" customWidth="1"/>
    <col min="12" max="12" width="10.85546875" bestFit="1" customWidth="1"/>
    <col min="13" max="13" width="3.140625" customWidth="1"/>
    <col min="14" max="15" width="9.85546875" hidden="1" customWidth="1"/>
    <col min="16" max="16" width="10.140625" hidden="1" customWidth="1"/>
    <col min="17" max="17" width="10.85546875" hidden="1" customWidth="1"/>
    <col min="18" max="18" width="12.140625" hidden="1" customWidth="1"/>
    <col min="19" max="19" width="2.42578125" hidden="1" customWidth="1"/>
    <col min="20" max="24" width="9.28515625" hidden="1" customWidth="1"/>
    <col min="25" max="25" width="0" hidden="1" customWidth="1"/>
  </cols>
  <sheetData>
    <row r="1" spans="1:24">
      <c r="G1" s="188">
        <v>0.21548800000000001</v>
      </c>
    </row>
    <row r="2" spans="1:24">
      <c r="A2" s="10" t="s">
        <v>423</v>
      </c>
      <c r="G2" s="157"/>
    </row>
    <row r="3" spans="1:24">
      <c r="J3" s="279" t="s">
        <v>365</v>
      </c>
      <c r="K3" s="279"/>
    </row>
    <row r="4" spans="1:24" s="2" customFormat="1" ht="26.25" customHeight="1">
      <c r="A4" s="102" t="s">
        <v>0</v>
      </c>
      <c r="B4" s="102" t="s">
        <v>12</v>
      </c>
      <c r="C4" s="103" t="s">
        <v>18</v>
      </c>
      <c r="D4" s="103" t="s">
        <v>19</v>
      </c>
      <c r="E4" s="103" t="s">
        <v>20</v>
      </c>
      <c r="F4" s="103" t="s">
        <v>21</v>
      </c>
      <c r="G4" s="164" t="s">
        <v>432</v>
      </c>
      <c r="H4" s="103" t="s">
        <v>433</v>
      </c>
      <c r="I4" s="103" t="s">
        <v>434</v>
      </c>
      <c r="J4" s="103" t="s">
        <v>435</v>
      </c>
      <c r="K4" s="103" t="s">
        <v>436</v>
      </c>
      <c r="L4" s="103" t="s">
        <v>437</v>
      </c>
      <c r="N4" s="215" t="s">
        <v>18</v>
      </c>
      <c r="O4" s="215" t="s">
        <v>19</v>
      </c>
      <c r="P4" s="103" t="s">
        <v>20</v>
      </c>
      <c r="Q4" s="103" t="s">
        <v>21</v>
      </c>
      <c r="R4" s="164" t="s">
        <v>432</v>
      </c>
      <c r="T4" s="215" t="s">
        <v>18</v>
      </c>
      <c r="U4" s="215" t="s">
        <v>19</v>
      </c>
      <c r="V4" s="103" t="s">
        <v>20</v>
      </c>
      <c r="W4" s="103" t="s">
        <v>21</v>
      </c>
      <c r="X4" s="164" t="s">
        <v>432</v>
      </c>
    </row>
    <row r="5" spans="1:24" s="135" customFormat="1" ht="18.75" customHeight="1">
      <c r="A5" s="216" t="s">
        <v>1</v>
      </c>
      <c r="B5" s="61"/>
      <c r="C5" s="169">
        <f>+'1.3a((O&amp;M)'!D16+'1.1c(CWIP)'!D11</f>
        <v>298.02</v>
      </c>
      <c r="D5" s="169">
        <f>+'1.3a((O&amp;M)'!D25+'1.1c(CWIP)'!E11</f>
        <v>392.46</v>
      </c>
      <c r="E5" s="169">
        <f>+'1.3a((O&amp;M)'!D34+'1.1c(CWIP)'!F11</f>
        <v>491.83000000000004</v>
      </c>
      <c r="F5" s="169">
        <f>+'1.3a((O&amp;M)'!D43+'1.1c(CWIP)'!G11</f>
        <v>502.65999999999997</v>
      </c>
      <c r="G5" s="169">
        <v>713.49</v>
      </c>
      <c r="H5" s="169">
        <f>+'1.3a((O&amp;M)'!D61+'1.1c(CWIP)'!I11</f>
        <v>912.41227737941199</v>
      </c>
      <c r="I5" s="217">
        <f>+'1.3a((O&amp;M)'!D70+'1.1c(CWIP)'!J11</f>
        <v>1070.6637528113274</v>
      </c>
      <c r="J5" s="217">
        <f>+'1.3a((O&amp;M)'!D79+'1.1c(CWIP)'!K11</f>
        <v>1194.3028595526337</v>
      </c>
      <c r="K5" s="217">
        <f>+'1.3a((O&amp;M)'!D88+'1.1c(CWIP)'!L11</f>
        <v>1302.5497843714766</v>
      </c>
      <c r="L5" s="217">
        <f>+'1.3a((O&amp;M)'!D97+'1.1c(CWIP)'!M11</f>
        <v>1422.0404588910105</v>
      </c>
      <c r="M5" s="218"/>
      <c r="N5" s="17">
        <f>69.06+206.29+22.67</f>
        <v>298.02000000000004</v>
      </c>
      <c r="O5" s="17">
        <f>110.94+253.81+27.71</f>
        <v>392.46</v>
      </c>
      <c r="P5" s="61">
        <f>141.01+315.17+35.65</f>
        <v>491.83</v>
      </c>
      <c r="Q5" s="61">
        <f>60.48+405.8+36.38</f>
        <v>502.66</v>
      </c>
      <c r="R5" s="61">
        <f>149.25+511.37+52.87</f>
        <v>713.49</v>
      </c>
      <c r="T5" s="17">
        <f>+N5-C5</f>
        <v>0</v>
      </c>
      <c r="U5" s="17">
        <f>+O5-D5</f>
        <v>0</v>
      </c>
      <c r="V5" s="17">
        <f>+P5-E5</f>
        <v>0</v>
      </c>
      <c r="W5" s="17">
        <f>+Q5-F5</f>
        <v>0</v>
      </c>
      <c r="X5" s="17">
        <f>+R5-G5</f>
        <v>0</v>
      </c>
    </row>
    <row r="6" spans="1:24" s="135" customFormat="1" ht="18.75" customHeight="1">
      <c r="A6" s="219" t="s">
        <v>2</v>
      </c>
      <c r="B6" s="17"/>
      <c r="C6" s="169">
        <f>+'1.1b (Dep)'!E64</f>
        <v>208.42</v>
      </c>
      <c r="D6" s="169">
        <f>+'1.1b (Dep)'!E96</f>
        <v>285.08999999999997</v>
      </c>
      <c r="E6" s="169">
        <f>+'1.1b (Dep)'!E128</f>
        <v>431.8499999999998</v>
      </c>
      <c r="F6" s="169">
        <f>+'1.1b (Dep)'!E160</f>
        <v>584.45000000000005</v>
      </c>
      <c r="G6" s="169">
        <f>+'1.1b (Dep)'!E192</f>
        <v>738.85000000000014</v>
      </c>
      <c r="H6" s="169">
        <f>+'[1]Summary (Gross)'!C36</f>
        <v>899.66400089776448</v>
      </c>
      <c r="I6" s="169">
        <f>+'[1]Summary (Gross)'!D36</f>
        <v>1032.3525072806633</v>
      </c>
      <c r="J6" s="169">
        <f>+'[1]Summary (Gross)'!E36</f>
        <v>1277.142748040169</v>
      </c>
      <c r="K6" s="169">
        <f>+'[1]Summary (Gross)'!F36</f>
        <v>1482.2814776392288</v>
      </c>
      <c r="L6" s="169">
        <f>+'[1]Summary (Gross)'!G36</f>
        <v>1666.3597152967372</v>
      </c>
      <c r="M6" s="218"/>
      <c r="N6" s="17">
        <v>208.42</v>
      </c>
      <c r="O6" s="17">
        <v>285.08999999999997</v>
      </c>
      <c r="P6" s="61">
        <v>431.85</v>
      </c>
      <c r="Q6" s="61">
        <v>584.45000000000005</v>
      </c>
      <c r="R6" s="61">
        <v>738.85</v>
      </c>
      <c r="T6" s="17">
        <f t="shared" ref="T6:X17" si="0">+N6-C6</f>
        <v>0</v>
      </c>
      <c r="U6" s="17">
        <f t="shared" si="0"/>
        <v>0</v>
      </c>
      <c r="V6" s="17">
        <f t="shared" si="0"/>
        <v>0</v>
      </c>
      <c r="W6" s="17">
        <f t="shared" si="0"/>
        <v>0</v>
      </c>
      <c r="X6" s="17">
        <f t="shared" si="0"/>
        <v>0</v>
      </c>
    </row>
    <row r="7" spans="1:24" s="135" customFormat="1" ht="18.75" customHeight="1">
      <c r="A7" s="219" t="s">
        <v>3</v>
      </c>
      <c r="B7" s="61"/>
      <c r="C7" s="149"/>
      <c r="D7" s="149"/>
      <c r="E7" s="149"/>
      <c r="F7" s="149"/>
      <c r="G7" s="149"/>
      <c r="H7" s="149"/>
      <c r="I7" s="149"/>
      <c r="J7" s="149"/>
      <c r="K7" s="149"/>
      <c r="L7" s="149"/>
      <c r="N7" s="17"/>
      <c r="O7" s="17"/>
      <c r="P7" s="61"/>
      <c r="Q7" s="61"/>
      <c r="R7" s="61"/>
      <c r="T7" s="17">
        <f t="shared" si="0"/>
        <v>0</v>
      </c>
      <c r="U7" s="17">
        <f t="shared" si="0"/>
        <v>0</v>
      </c>
      <c r="V7" s="17">
        <f t="shared" si="0"/>
        <v>0</v>
      </c>
      <c r="W7" s="17">
        <f t="shared" si="0"/>
        <v>0</v>
      </c>
      <c r="X7" s="17">
        <f t="shared" si="0"/>
        <v>0</v>
      </c>
    </row>
    <row r="8" spans="1:24" s="135" customFormat="1" ht="18.75" customHeight="1">
      <c r="A8" s="219" t="s">
        <v>4</v>
      </c>
      <c r="B8" s="61"/>
      <c r="C8" s="169">
        <v>18.21</v>
      </c>
      <c r="D8" s="169" t="e">
        <f>+#REF!</f>
        <v>#REF!</v>
      </c>
      <c r="E8" s="169" t="e">
        <f>+#REF!</f>
        <v>#REF!</v>
      </c>
      <c r="F8" s="169" t="e">
        <f>+#REF!</f>
        <v>#REF!</v>
      </c>
      <c r="G8" s="169">
        <v>75.53</v>
      </c>
      <c r="H8" s="169">
        <f>+'1a(RRB)'!H19*'1.0'!$G$1/(1-'1.0'!$G$1)</f>
        <v>84.280822283987177</v>
      </c>
      <c r="I8" s="169">
        <f>+'1a(RRB)'!I19*'1.0'!$G$1/(1-'1.0'!$G$1)</f>
        <v>90.646996326477691</v>
      </c>
      <c r="J8" s="169">
        <f>+'1a(RRB)'!J19*'1.0'!$G$1/(1-'1.0'!$G$1)</f>
        <v>114.23802669367277</v>
      </c>
      <c r="K8" s="169">
        <f>+'1a(RRB)'!K19*'1.0'!$G$1/(1-'1.0'!$G$1)</f>
        <v>131.10277112043946</v>
      </c>
      <c r="L8" s="169">
        <f>+'1a(RRB)'!L19*'1.0'!$G$1/(1-'1.0'!$G$1)</f>
        <v>138.49241536012255</v>
      </c>
      <c r="N8" s="17"/>
      <c r="O8" s="17"/>
      <c r="P8" s="17"/>
      <c r="Q8" s="17"/>
      <c r="R8" s="17"/>
      <c r="T8" s="17">
        <f t="shared" si="0"/>
        <v>-18.21</v>
      </c>
      <c r="U8" s="17" t="e">
        <f t="shared" si="0"/>
        <v>#REF!</v>
      </c>
      <c r="V8" s="17" t="e">
        <f t="shared" si="0"/>
        <v>#REF!</v>
      </c>
      <c r="W8" s="17" t="e">
        <f t="shared" si="0"/>
        <v>#REF!</v>
      </c>
      <c r="X8" s="17">
        <f t="shared" si="0"/>
        <v>-75.53</v>
      </c>
    </row>
    <row r="9" spans="1:24" s="135" customFormat="1" ht="18.75" customHeight="1">
      <c r="A9" s="219" t="s">
        <v>5</v>
      </c>
      <c r="B9" s="61"/>
      <c r="C9" s="169">
        <f>+'1.3i'!D9</f>
        <v>11.07</v>
      </c>
      <c r="D9" s="169">
        <f>+'1.3i'!E9</f>
        <v>0.75</v>
      </c>
      <c r="E9" s="169">
        <f>+'1.3i'!F9</f>
        <v>3.88</v>
      </c>
      <c r="F9" s="169">
        <f>+'1.3i'!G9</f>
        <v>16.23</v>
      </c>
      <c r="G9" s="169">
        <f>+'1.3i'!H9</f>
        <v>8.48</v>
      </c>
      <c r="H9" s="169">
        <v>0</v>
      </c>
      <c r="I9" s="169">
        <v>0</v>
      </c>
      <c r="J9" s="169">
        <v>0</v>
      </c>
      <c r="K9" s="169">
        <v>0</v>
      </c>
      <c r="L9" s="169">
        <v>0</v>
      </c>
      <c r="N9" s="61">
        <v>11.07</v>
      </c>
      <c r="O9" s="220">
        <v>0.75</v>
      </c>
      <c r="P9" s="61">
        <v>3.88</v>
      </c>
      <c r="Q9" s="17">
        <f>6.23-317.13</f>
        <v>-310.89999999999998</v>
      </c>
      <c r="R9" s="61">
        <v>0.17</v>
      </c>
      <c r="T9" s="17">
        <f t="shared" si="0"/>
        <v>0</v>
      </c>
      <c r="U9" s="17">
        <f t="shared" si="0"/>
        <v>0</v>
      </c>
      <c r="V9" s="17">
        <f t="shared" si="0"/>
        <v>0</v>
      </c>
      <c r="W9" s="17">
        <f t="shared" si="0"/>
        <v>-327.13</v>
      </c>
      <c r="X9" s="17">
        <f t="shared" si="0"/>
        <v>-8.31</v>
      </c>
    </row>
    <row r="10" spans="1:24" s="135" customFormat="1" ht="18.75" customHeight="1">
      <c r="A10" s="216" t="s">
        <v>6</v>
      </c>
      <c r="B10" s="61"/>
      <c r="C10" s="169"/>
      <c r="D10" s="149"/>
      <c r="E10" s="149"/>
      <c r="F10" s="149"/>
      <c r="G10" s="169"/>
      <c r="H10" s="225">
        <v>-367.15</v>
      </c>
      <c r="I10" s="169"/>
      <c r="J10" s="169"/>
      <c r="K10" s="169"/>
      <c r="L10" s="169"/>
      <c r="N10" s="190"/>
      <c r="O10" s="220"/>
      <c r="P10" s="17"/>
      <c r="Q10" s="17"/>
      <c r="R10" s="17"/>
      <c r="T10" s="17">
        <f t="shared" si="0"/>
        <v>0</v>
      </c>
      <c r="U10" s="17">
        <f t="shared" si="0"/>
        <v>0</v>
      </c>
      <c r="V10" s="17">
        <f t="shared" si="0"/>
        <v>0</v>
      </c>
      <c r="W10" s="17">
        <f t="shared" si="0"/>
        <v>0</v>
      </c>
      <c r="X10" s="17">
        <f t="shared" si="0"/>
        <v>0</v>
      </c>
    </row>
    <row r="11" spans="1:24" s="135" customFormat="1" ht="18.75" customHeight="1">
      <c r="A11" s="197" t="s">
        <v>7</v>
      </c>
      <c r="B11" s="136"/>
      <c r="C11" s="136">
        <f>SUM(C5:C10)</f>
        <v>535.72</v>
      </c>
      <c r="D11" s="136" t="e">
        <f t="shared" ref="D11:L11" si="1">SUM(D5:D10)</f>
        <v>#REF!</v>
      </c>
      <c r="E11" s="136" t="e">
        <f t="shared" si="1"/>
        <v>#REF!</v>
      </c>
      <c r="F11" s="136" t="e">
        <f t="shared" si="1"/>
        <v>#REF!</v>
      </c>
      <c r="G11" s="136">
        <f t="shared" si="1"/>
        <v>1536.3500000000001</v>
      </c>
      <c r="H11" s="136">
        <f t="shared" si="1"/>
        <v>1529.2071005611638</v>
      </c>
      <c r="I11" s="136">
        <f t="shared" si="1"/>
        <v>2193.6632564184683</v>
      </c>
      <c r="J11" s="136">
        <f t="shared" si="1"/>
        <v>2585.6836342864758</v>
      </c>
      <c r="K11" s="136">
        <f t="shared" si="1"/>
        <v>2915.934033131145</v>
      </c>
      <c r="L11" s="136">
        <f t="shared" si="1"/>
        <v>3226.8925895478706</v>
      </c>
      <c r="N11" s="136">
        <f t="shared" ref="N11:R11" si="2">SUM(N5:N10)</f>
        <v>517.5100000000001</v>
      </c>
      <c r="O11" s="136">
        <f t="shared" si="2"/>
        <v>678.3</v>
      </c>
      <c r="P11" s="136">
        <f t="shared" si="2"/>
        <v>927.56000000000006</v>
      </c>
      <c r="Q11" s="136">
        <f t="shared" si="2"/>
        <v>776.21000000000015</v>
      </c>
      <c r="R11" s="136">
        <f t="shared" si="2"/>
        <v>1452.5100000000002</v>
      </c>
      <c r="T11" s="17">
        <f t="shared" si="0"/>
        <v>-18.209999999999923</v>
      </c>
      <c r="U11" s="17" t="e">
        <f t="shared" si="0"/>
        <v>#REF!</v>
      </c>
      <c r="V11" s="17" t="e">
        <f t="shared" si="0"/>
        <v>#REF!</v>
      </c>
      <c r="W11" s="17" t="e">
        <f t="shared" si="0"/>
        <v>#REF!</v>
      </c>
      <c r="X11" s="17">
        <f t="shared" si="0"/>
        <v>-83.839999999999918</v>
      </c>
    </row>
    <row r="12" spans="1:24" s="135" customFormat="1" ht="18.75" customHeight="1">
      <c r="A12" s="216" t="s">
        <v>8</v>
      </c>
      <c r="B12" s="61"/>
      <c r="C12" s="169">
        <f>+'1.1c(CWIP)'!D11</f>
        <v>65.180000000000007</v>
      </c>
      <c r="D12" s="169">
        <f>+'1.1c(CWIP)'!E11</f>
        <v>76.39</v>
      </c>
      <c r="E12" s="169">
        <f>+'1.1c(CWIP)'!F11</f>
        <v>115.61</v>
      </c>
      <c r="F12" s="169">
        <f>+'1.1c(CWIP)'!G11</f>
        <v>70.84</v>
      </c>
      <c r="G12" s="169">
        <f>+'1.1c(CWIP)'!H11</f>
        <v>109.9</v>
      </c>
      <c r="H12" s="169">
        <f>+'1.1c(CWIP)'!I11</f>
        <v>120.87900000000002</v>
      </c>
      <c r="I12" s="169">
        <f>+'1.1c(CWIP)'!J11</f>
        <v>132.96690000000001</v>
      </c>
      <c r="J12" s="169">
        <f>+'1.1c(CWIP)'!K11</f>
        <v>146.26359000000002</v>
      </c>
      <c r="K12" s="169">
        <f>+'1.1c(CWIP)'!L11</f>
        <v>160.88994900000003</v>
      </c>
      <c r="L12" s="169">
        <f>+'1.1c(CWIP)'!M11</f>
        <v>176.97894390000002</v>
      </c>
      <c r="N12" s="61">
        <v>65.180000000000007</v>
      </c>
      <c r="O12" s="17">
        <v>76.39</v>
      </c>
      <c r="P12" s="17">
        <v>115.61</v>
      </c>
      <c r="Q12" s="220">
        <v>70.84</v>
      </c>
      <c r="R12" s="220">
        <v>109.9</v>
      </c>
      <c r="T12" s="17">
        <f t="shared" si="0"/>
        <v>0</v>
      </c>
      <c r="U12" s="17">
        <f t="shared" si="0"/>
        <v>0</v>
      </c>
      <c r="V12" s="17">
        <f t="shared" si="0"/>
        <v>0</v>
      </c>
      <c r="W12" s="17">
        <f t="shared" si="0"/>
        <v>0</v>
      </c>
      <c r="X12" s="17">
        <f t="shared" si="0"/>
        <v>0</v>
      </c>
    </row>
    <row r="13" spans="1:24" s="135" customFormat="1" ht="18.75" customHeight="1">
      <c r="A13" s="216" t="s">
        <v>9</v>
      </c>
      <c r="B13" s="61"/>
      <c r="C13" s="149"/>
      <c r="D13" s="149"/>
      <c r="E13" s="149"/>
      <c r="F13" s="149"/>
      <c r="G13" s="149"/>
      <c r="H13" s="149"/>
      <c r="I13" s="149"/>
      <c r="J13" s="149"/>
      <c r="K13" s="149"/>
      <c r="L13" s="149"/>
      <c r="N13" s="61"/>
      <c r="O13" s="61"/>
      <c r="P13" s="61"/>
      <c r="Q13" s="61"/>
      <c r="R13" s="61"/>
      <c r="T13" s="17">
        <f t="shared" si="0"/>
        <v>0</v>
      </c>
      <c r="U13" s="17">
        <f t="shared" si="0"/>
        <v>0</v>
      </c>
      <c r="V13" s="17">
        <f t="shared" si="0"/>
        <v>0</v>
      </c>
      <c r="W13" s="17">
        <f t="shared" si="0"/>
        <v>0</v>
      </c>
      <c r="X13" s="17">
        <f t="shared" si="0"/>
        <v>0</v>
      </c>
    </row>
    <row r="14" spans="1:24" s="135" customFormat="1" ht="18.75" customHeight="1">
      <c r="A14" s="197" t="s">
        <v>10</v>
      </c>
      <c r="B14" s="136"/>
      <c r="C14" s="136">
        <f>+C11-C12-C13</f>
        <v>470.54</v>
      </c>
      <c r="D14" s="136" t="e">
        <f t="shared" ref="D14:L14" si="3">+D11-D12-D13</f>
        <v>#REF!</v>
      </c>
      <c r="E14" s="136" t="e">
        <f t="shared" si="3"/>
        <v>#REF!</v>
      </c>
      <c r="F14" s="136" t="e">
        <f t="shared" si="3"/>
        <v>#REF!</v>
      </c>
      <c r="G14" s="136">
        <f t="shared" si="3"/>
        <v>1426.45</v>
      </c>
      <c r="H14" s="136">
        <f t="shared" si="3"/>
        <v>1408.3281005611639</v>
      </c>
      <c r="I14" s="136">
        <f t="shared" si="3"/>
        <v>2060.6963564184684</v>
      </c>
      <c r="J14" s="136">
        <f t="shared" si="3"/>
        <v>2439.4200442864758</v>
      </c>
      <c r="K14" s="136">
        <f t="shared" si="3"/>
        <v>2755.0440841311452</v>
      </c>
      <c r="L14" s="136">
        <f t="shared" si="3"/>
        <v>3049.9136456478705</v>
      </c>
      <c r="N14" s="136">
        <f t="shared" ref="N14:R14" si="4">+N11-N12-N13</f>
        <v>452.3300000000001</v>
      </c>
      <c r="O14" s="136">
        <f t="shared" si="4"/>
        <v>601.91</v>
      </c>
      <c r="P14" s="136">
        <f t="shared" si="4"/>
        <v>811.95</v>
      </c>
      <c r="Q14" s="136">
        <f t="shared" si="4"/>
        <v>705.37000000000012</v>
      </c>
      <c r="R14" s="136">
        <f t="shared" si="4"/>
        <v>1342.6100000000001</v>
      </c>
      <c r="T14" s="17">
        <f t="shared" si="0"/>
        <v>-18.209999999999923</v>
      </c>
      <c r="U14" s="17" t="e">
        <f t="shared" si="0"/>
        <v>#REF!</v>
      </c>
      <c r="V14" s="17" t="e">
        <f t="shared" si="0"/>
        <v>#REF!</v>
      </c>
      <c r="W14" s="17" t="e">
        <f t="shared" si="0"/>
        <v>#REF!</v>
      </c>
      <c r="X14" s="17">
        <f t="shared" si="0"/>
        <v>-83.839999999999918</v>
      </c>
    </row>
    <row r="15" spans="1:24" s="135" customFormat="1" ht="18.75" customHeight="1">
      <c r="A15" s="216" t="s">
        <v>11</v>
      </c>
      <c r="B15" s="61"/>
      <c r="C15" s="169">
        <f>+'1a(RRB)'!C20</f>
        <v>219.15336571782177</v>
      </c>
      <c r="D15" s="169">
        <f>+'1a(RRB)'!D20</f>
        <v>351.57516678082192</v>
      </c>
      <c r="E15" s="169">
        <f>+'1a(RRB)'!E20</f>
        <v>521.40840513698629</v>
      </c>
      <c r="F15" s="169">
        <f>+'1a(RRB)'!F20</f>
        <v>619.73023732876709</v>
      </c>
      <c r="G15" s="169">
        <f>+'1a(RRB)'!G20</f>
        <v>731.16903321917812</v>
      </c>
      <c r="H15" s="169">
        <f>+'1a(RRB)'!H20</f>
        <v>1030.0898005682122</v>
      </c>
      <c r="I15" s="169">
        <f>+'1a(RRB)'!I20</f>
        <v>1107.8979041450268</v>
      </c>
      <c r="J15" s="169">
        <f>+'1a(RRB)'!J20</f>
        <v>1396.2301617997987</v>
      </c>
      <c r="K15" s="169">
        <f>+'1a(RRB)'!K20</f>
        <v>1602.3529872827505</v>
      </c>
      <c r="L15" s="169">
        <f>+'1a(RRB)'!L20</f>
        <v>1692.6700600739521</v>
      </c>
      <c r="M15" s="218"/>
      <c r="N15" s="17">
        <f>243.42-91.4+70.96</f>
        <v>222.97999999999996</v>
      </c>
      <c r="O15" s="17">
        <f>351.75-117.05+141.15</f>
        <v>375.85</v>
      </c>
      <c r="P15" s="17">
        <f>483.9-136.4+265.94</f>
        <v>613.44000000000005</v>
      </c>
      <c r="Q15" s="61">
        <f>591.79-197.12+347.67</f>
        <v>742.33999999999992</v>
      </c>
      <c r="R15" s="61">
        <f>659.77-203.6+235.68</f>
        <v>691.84999999999991</v>
      </c>
      <c r="T15" s="17">
        <f t="shared" si="0"/>
        <v>3.8266342821781905</v>
      </c>
      <c r="U15" s="17">
        <f t="shared" si="0"/>
        <v>24.274833219178106</v>
      </c>
      <c r="V15" s="17">
        <f t="shared" si="0"/>
        <v>92.031594863013765</v>
      </c>
      <c r="W15" s="17">
        <f t="shared" si="0"/>
        <v>122.60976267123283</v>
      </c>
      <c r="X15" s="17">
        <f t="shared" si="0"/>
        <v>-39.319033219178209</v>
      </c>
    </row>
    <row r="16" spans="1:24" s="135" customFormat="1" ht="18.75" customHeight="1">
      <c r="A16" s="221" t="s">
        <v>382</v>
      </c>
      <c r="B16" s="61"/>
      <c r="C16" s="169">
        <f>+'10 (NTI)'!D14</f>
        <v>46.83</v>
      </c>
      <c r="D16" s="169">
        <f>+'10 (NTI)'!E14</f>
        <v>79.52000000000001</v>
      </c>
      <c r="E16" s="169">
        <f>+'10 (NTI)'!F14</f>
        <v>113.04</v>
      </c>
      <c r="F16" s="169">
        <f>+'10 (NTI)'!G14</f>
        <v>119.28</v>
      </c>
      <c r="G16" s="169">
        <f>+'10 (NTI)'!H14</f>
        <v>287.77</v>
      </c>
      <c r="H16" s="169">
        <f>+'10 (NTI)'!I14</f>
        <v>426.34000000000003</v>
      </c>
      <c r="I16" s="169">
        <f>+'10 (NTI)'!J14</f>
        <v>340.40999999999997</v>
      </c>
      <c r="J16" s="169">
        <f>+'10 (NTI)'!K14</f>
        <v>489.66999999999996</v>
      </c>
      <c r="K16" s="169">
        <f>+'10 (NTI)'!L14</f>
        <v>383.01</v>
      </c>
      <c r="L16" s="169">
        <f>+'10 (NTI)'!M14</f>
        <v>467.80999999999995</v>
      </c>
      <c r="N16" s="61">
        <v>46.83</v>
      </c>
      <c r="O16" s="61">
        <v>79.52</v>
      </c>
      <c r="P16" s="61">
        <v>113.04</v>
      </c>
      <c r="Q16" s="222">
        <v>109.27</v>
      </c>
      <c r="R16" s="222">
        <v>279.45999999999998</v>
      </c>
      <c r="T16" s="17">
        <f t="shared" si="0"/>
        <v>0</v>
      </c>
      <c r="U16" s="17">
        <f t="shared" si="0"/>
        <v>0</v>
      </c>
      <c r="V16" s="17">
        <f t="shared" si="0"/>
        <v>0</v>
      </c>
      <c r="W16" s="17">
        <f t="shared" si="0"/>
        <v>-10.010000000000005</v>
      </c>
      <c r="X16" s="17">
        <f t="shared" si="0"/>
        <v>-8.3100000000000023</v>
      </c>
    </row>
    <row r="17" spans="1:24" s="135" customFormat="1" ht="25.5">
      <c r="A17" s="76" t="s">
        <v>466</v>
      </c>
      <c r="B17" s="136"/>
      <c r="C17" s="136">
        <f>+C14+C15-C16</f>
        <v>642.86336571782169</v>
      </c>
      <c r="D17" s="136" t="e">
        <f t="shared" ref="D17:L17" si="5">+D14+D15-D16</f>
        <v>#REF!</v>
      </c>
      <c r="E17" s="136" t="e">
        <f t="shared" si="5"/>
        <v>#REF!</v>
      </c>
      <c r="F17" s="136" t="e">
        <f t="shared" si="5"/>
        <v>#REF!</v>
      </c>
      <c r="G17" s="136">
        <f t="shared" si="5"/>
        <v>1869.8490332191782</v>
      </c>
      <c r="H17" s="136">
        <f t="shared" si="5"/>
        <v>2012.0779011293762</v>
      </c>
      <c r="I17" s="136">
        <f t="shared" si="5"/>
        <v>2828.1842605634956</v>
      </c>
      <c r="J17" s="136">
        <f t="shared" si="5"/>
        <v>3345.9802060862744</v>
      </c>
      <c r="K17" s="136">
        <f t="shared" si="5"/>
        <v>3974.3870714138957</v>
      </c>
      <c r="L17" s="136">
        <f t="shared" si="5"/>
        <v>4274.7737057218219</v>
      </c>
      <c r="N17" s="136">
        <f t="shared" ref="N17:R17" si="6">+N14+N15-N16</f>
        <v>628.48</v>
      </c>
      <c r="O17" s="136">
        <f t="shared" si="6"/>
        <v>898.24</v>
      </c>
      <c r="P17" s="136">
        <f t="shared" si="6"/>
        <v>1312.3500000000001</v>
      </c>
      <c r="Q17" s="136">
        <f t="shared" si="6"/>
        <v>1338.44</v>
      </c>
      <c r="R17" s="136">
        <f t="shared" si="6"/>
        <v>1755</v>
      </c>
      <c r="T17" s="17">
        <f t="shared" si="0"/>
        <v>-14.383365717821675</v>
      </c>
      <c r="U17" s="17" t="e">
        <f t="shared" si="0"/>
        <v>#REF!</v>
      </c>
      <c r="V17" s="17" t="e">
        <f t="shared" si="0"/>
        <v>#REF!</v>
      </c>
      <c r="W17" s="17" t="e">
        <f t="shared" si="0"/>
        <v>#REF!</v>
      </c>
      <c r="X17" s="17">
        <f t="shared" si="0"/>
        <v>-114.84903321917818</v>
      </c>
    </row>
    <row r="18" spans="1:24">
      <c r="B18" s="16"/>
      <c r="C18" s="16"/>
      <c r="D18" s="16"/>
      <c r="E18" s="16"/>
      <c r="F18" s="16"/>
      <c r="G18" s="16"/>
    </row>
    <row r="19" spans="1:24">
      <c r="G19" s="16"/>
      <c r="H19" s="16"/>
    </row>
    <row r="20" spans="1:24">
      <c r="B20" s="16"/>
      <c r="C20" s="16"/>
      <c r="D20" s="16"/>
      <c r="E20" s="16"/>
      <c r="F20" s="16"/>
    </row>
  </sheetData>
  <mergeCells count="1">
    <mergeCell ref="J3:K3"/>
  </mergeCells>
  <phoneticPr fontId="3" type="noConversion"/>
  <printOptions horizontalCentered="1"/>
  <pageMargins left="0.17" right="0.22" top="1" bottom="1" header="0.5" footer="0.5"/>
  <pageSetup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dimension ref="A1:E101"/>
  <sheetViews>
    <sheetView showGridLines="0" view="pageBreakPreview" topLeftCell="A76" zoomScaleSheetLayoutView="100" workbookViewId="0">
      <selection activeCell="D102" sqref="D102"/>
    </sheetView>
  </sheetViews>
  <sheetFormatPr defaultRowHeight="12.75"/>
  <cols>
    <col min="1" max="1" width="8.42578125" customWidth="1"/>
    <col min="2" max="2" width="42.28515625" customWidth="1"/>
    <col min="3" max="3" width="11.85546875" customWidth="1"/>
    <col min="4" max="4" width="11" style="12" customWidth="1"/>
    <col min="5" max="5" width="10.7109375" customWidth="1"/>
  </cols>
  <sheetData>
    <row r="1" spans="1:5">
      <c r="A1" s="10"/>
      <c r="B1" s="10" t="s">
        <v>146</v>
      </c>
      <c r="C1" s="10"/>
      <c r="D1" s="75"/>
      <c r="E1" s="10"/>
    </row>
    <row r="2" spans="1:5">
      <c r="A2" s="10"/>
      <c r="B2" s="11" t="s">
        <v>147</v>
      </c>
      <c r="C2" s="10"/>
      <c r="D2" s="75"/>
      <c r="E2" s="10"/>
    </row>
    <row r="3" spans="1:5" hidden="1">
      <c r="A3" s="10"/>
      <c r="B3" s="26"/>
      <c r="C3" s="10"/>
      <c r="D3" s="75"/>
      <c r="E3" s="10"/>
    </row>
    <row r="4" spans="1:5" hidden="1">
      <c r="A4" s="10"/>
      <c r="B4" s="26"/>
      <c r="C4" s="10"/>
      <c r="D4" s="75"/>
      <c r="E4" s="10"/>
    </row>
    <row r="5" spans="1:5" hidden="1">
      <c r="A5" s="72" t="s">
        <v>17</v>
      </c>
      <c r="D5" s="74"/>
    </row>
    <row r="6" spans="1:5" hidden="1">
      <c r="A6" s="68" t="s">
        <v>148</v>
      </c>
      <c r="B6" s="68" t="s">
        <v>0</v>
      </c>
      <c r="C6" s="69" t="s">
        <v>149</v>
      </c>
      <c r="D6" s="76" t="s">
        <v>195</v>
      </c>
      <c r="E6" s="69" t="s">
        <v>101</v>
      </c>
    </row>
    <row r="7" spans="1:5" hidden="1">
      <c r="A7" s="73">
        <v>10001</v>
      </c>
      <c r="B7" s="65" t="s">
        <v>150</v>
      </c>
      <c r="C7" s="63"/>
      <c r="D7" s="66"/>
      <c r="E7" s="64"/>
    </row>
    <row r="8" spans="1:5" hidden="1">
      <c r="A8" s="73">
        <v>10014</v>
      </c>
      <c r="B8" s="67" t="s">
        <v>151</v>
      </c>
      <c r="C8" s="63"/>
      <c r="D8" s="139"/>
      <c r="E8" s="64"/>
    </row>
    <row r="9" spans="1:5" hidden="1">
      <c r="A9" s="73">
        <v>10011</v>
      </c>
      <c r="B9" s="67" t="s">
        <v>196</v>
      </c>
      <c r="C9" s="63"/>
      <c r="D9" s="140"/>
      <c r="E9" s="64"/>
    </row>
    <row r="10" spans="1:5" hidden="1">
      <c r="A10" s="73">
        <v>10025</v>
      </c>
      <c r="B10" s="70" t="s">
        <v>197</v>
      </c>
      <c r="C10" s="63"/>
      <c r="D10" s="140"/>
      <c r="E10" s="64"/>
    </row>
    <row r="11" spans="1:5" hidden="1">
      <c r="A11" s="73">
        <v>10026</v>
      </c>
      <c r="B11" s="70" t="s">
        <v>198</v>
      </c>
      <c r="C11" s="63"/>
      <c r="D11" s="140"/>
      <c r="E11" s="64"/>
    </row>
    <row r="12" spans="1:5" hidden="1"/>
    <row r="13" spans="1:5" hidden="1"/>
    <row r="14" spans="1:5" hidden="1">
      <c r="A14" s="72" t="s">
        <v>18</v>
      </c>
      <c r="D14" s="74"/>
    </row>
    <row r="15" spans="1:5" hidden="1">
      <c r="A15" s="68" t="s">
        <v>148</v>
      </c>
      <c r="B15" s="68" t="s">
        <v>0</v>
      </c>
      <c r="C15" s="69" t="s">
        <v>149</v>
      </c>
      <c r="D15" s="76" t="s">
        <v>195</v>
      </c>
      <c r="E15" s="69" t="s">
        <v>101</v>
      </c>
    </row>
    <row r="16" spans="1:5" hidden="1">
      <c r="A16" s="73">
        <v>10001</v>
      </c>
      <c r="B16" s="65" t="s">
        <v>150</v>
      </c>
      <c r="C16" s="63"/>
      <c r="D16" s="66">
        <f>+'O&amp;M'!B18</f>
        <v>232.84</v>
      </c>
      <c r="E16" s="64"/>
    </row>
    <row r="17" spans="1:5" hidden="1">
      <c r="A17" s="73">
        <v>10014</v>
      </c>
      <c r="B17" s="67" t="s">
        <v>151</v>
      </c>
      <c r="C17" s="63"/>
      <c r="D17" s="139">
        <v>17950</v>
      </c>
      <c r="E17" s="64"/>
    </row>
    <row r="18" spans="1:5" hidden="1">
      <c r="A18" s="73">
        <v>10011</v>
      </c>
      <c r="B18" s="67" t="s">
        <v>196</v>
      </c>
      <c r="C18" s="63"/>
      <c r="D18" s="140">
        <v>1677</v>
      </c>
      <c r="E18" s="64"/>
    </row>
    <row r="19" spans="1:5" hidden="1">
      <c r="A19" s="73">
        <v>10025</v>
      </c>
      <c r="B19" s="70" t="s">
        <v>197</v>
      </c>
      <c r="C19" s="63"/>
      <c r="D19" s="140">
        <f>IF(D17=0,"0",0.3*D16/D17)*10000000</f>
        <v>38914.763231197772</v>
      </c>
      <c r="E19" s="64"/>
    </row>
    <row r="20" spans="1:5" hidden="1">
      <c r="A20" s="73">
        <v>10026</v>
      </c>
      <c r="B20" s="70" t="s">
        <v>198</v>
      </c>
      <c r="C20" s="63"/>
      <c r="D20" s="140">
        <f>IF(D18=0,"0",0.7*D16/D18)*10000000</f>
        <v>971902.20632081106</v>
      </c>
      <c r="E20" s="64"/>
    </row>
    <row r="21" spans="1:5" hidden="1"/>
    <row r="22" spans="1:5" hidden="1"/>
    <row r="23" spans="1:5" hidden="1">
      <c r="A23" s="72" t="s">
        <v>19</v>
      </c>
      <c r="D23" s="74"/>
    </row>
    <row r="24" spans="1:5" hidden="1">
      <c r="A24" s="68" t="s">
        <v>148</v>
      </c>
      <c r="B24" s="68" t="s">
        <v>0</v>
      </c>
      <c r="C24" s="69" t="s">
        <v>149</v>
      </c>
      <c r="D24" s="76" t="s">
        <v>195</v>
      </c>
      <c r="E24" s="69" t="s">
        <v>101</v>
      </c>
    </row>
    <row r="25" spans="1:5" hidden="1">
      <c r="A25" s="73">
        <v>10001</v>
      </c>
      <c r="B25" s="65" t="s">
        <v>150</v>
      </c>
      <c r="C25" s="63"/>
      <c r="D25" s="66">
        <f>+'O&amp;M'!C18</f>
        <v>316.07</v>
      </c>
      <c r="E25" s="64"/>
    </row>
    <row r="26" spans="1:5" hidden="1">
      <c r="A26" s="73">
        <v>10014</v>
      </c>
      <c r="B26" s="67" t="s">
        <v>151</v>
      </c>
      <c r="C26" s="63"/>
      <c r="D26" s="139">
        <v>19031</v>
      </c>
      <c r="E26" s="64"/>
    </row>
    <row r="27" spans="1:5" hidden="1">
      <c r="A27" s="73">
        <v>10011</v>
      </c>
      <c r="B27" s="67" t="s">
        <v>196</v>
      </c>
      <c r="C27" s="63"/>
      <c r="D27" s="140">
        <v>1871</v>
      </c>
      <c r="E27" s="64"/>
    </row>
    <row r="28" spans="1:5" hidden="1">
      <c r="A28" s="73">
        <v>10025</v>
      </c>
      <c r="B28" s="70" t="s">
        <v>197</v>
      </c>
      <c r="C28" s="63"/>
      <c r="D28" s="140">
        <f>IF(D26=0,"0",0.3*D25/D26)*10000000</f>
        <v>49824.496873522148</v>
      </c>
      <c r="E28" s="64"/>
    </row>
    <row r="29" spans="1:5" hidden="1">
      <c r="A29" s="73">
        <v>10026</v>
      </c>
      <c r="B29" s="70" t="s">
        <v>198</v>
      </c>
      <c r="C29" s="63"/>
      <c r="D29" s="140">
        <f>IF(D27=0,"0",0.7*D25/D27)*10000000</f>
        <v>1182517.3703901656</v>
      </c>
      <c r="E29" s="64"/>
    </row>
    <row r="30" spans="1:5" hidden="1"/>
    <row r="31" spans="1:5" hidden="1"/>
    <row r="32" spans="1:5" hidden="1">
      <c r="A32" s="72" t="s">
        <v>20</v>
      </c>
      <c r="D32" s="74"/>
    </row>
    <row r="33" spans="1:5" hidden="1">
      <c r="A33" s="68" t="s">
        <v>148</v>
      </c>
      <c r="B33" s="68" t="s">
        <v>0</v>
      </c>
      <c r="C33" s="69" t="s">
        <v>149</v>
      </c>
      <c r="D33" s="76" t="s">
        <v>195</v>
      </c>
      <c r="E33" s="69" t="s">
        <v>101</v>
      </c>
    </row>
    <row r="34" spans="1:5" hidden="1">
      <c r="A34" s="73">
        <v>10001</v>
      </c>
      <c r="B34" s="65" t="s">
        <v>150</v>
      </c>
      <c r="C34" s="63"/>
      <c r="D34" s="66">
        <f>+'O&amp;M'!D18</f>
        <v>376.22</v>
      </c>
      <c r="E34" s="64"/>
    </row>
    <row r="35" spans="1:5" hidden="1">
      <c r="A35" s="73">
        <v>10014</v>
      </c>
      <c r="B35" s="67" t="s">
        <v>151</v>
      </c>
      <c r="C35" s="63"/>
      <c r="D35" s="139">
        <v>20268</v>
      </c>
      <c r="E35" s="64"/>
    </row>
    <row r="36" spans="1:5" hidden="1">
      <c r="A36" s="73">
        <v>10011</v>
      </c>
      <c r="B36" s="67" t="s">
        <v>196</v>
      </c>
      <c r="C36" s="63"/>
      <c r="D36" s="140">
        <v>2110</v>
      </c>
      <c r="E36" s="64"/>
    </row>
    <row r="37" spans="1:5" hidden="1">
      <c r="A37" s="73">
        <v>10025</v>
      </c>
      <c r="B37" s="70" t="s">
        <v>197</v>
      </c>
      <c r="C37" s="63"/>
      <c r="D37" s="140">
        <f>IF(D35=0,"0",0.3*D34/D35)*10000000</f>
        <v>55686.796921255183</v>
      </c>
      <c r="E37" s="64"/>
    </row>
    <row r="38" spans="1:5" hidden="1">
      <c r="A38" s="73">
        <v>10026</v>
      </c>
      <c r="B38" s="70" t="s">
        <v>198</v>
      </c>
      <c r="C38" s="63"/>
      <c r="D38" s="140">
        <f>IF(D36=0,"0",0.7*D34/D36)*10000000</f>
        <v>1248123.2227488151</v>
      </c>
      <c r="E38" s="64"/>
    </row>
    <row r="39" spans="1:5" hidden="1"/>
    <row r="40" spans="1:5" hidden="1"/>
    <row r="41" spans="1:5" hidden="1">
      <c r="A41" s="72" t="s">
        <v>446</v>
      </c>
      <c r="D41" s="74"/>
    </row>
    <row r="42" spans="1:5" hidden="1">
      <c r="A42" s="68" t="s">
        <v>148</v>
      </c>
      <c r="B42" s="68" t="s">
        <v>0</v>
      </c>
      <c r="C42" s="69" t="s">
        <v>149</v>
      </c>
      <c r="D42" s="76" t="s">
        <v>195</v>
      </c>
      <c r="E42" s="69" t="s">
        <v>101</v>
      </c>
    </row>
    <row r="43" spans="1:5" hidden="1">
      <c r="A43" s="73">
        <v>10001</v>
      </c>
      <c r="B43" s="65" t="s">
        <v>150</v>
      </c>
      <c r="C43" s="63"/>
      <c r="D43" s="66">
        <f>+'O&amp;M'!E18</f>
        <v>431.82</v>
      </c>
      <c r="E43" s="64"/>
    </row>
    <row r="44" spans="1:5" hidden="1">
      <c r="A44" s="73">
        <v>10014</v>
      </c>
      <c r="B44" s="67" t="s">
        <v>151</v>
      </c>
      <c r="C44" s="63"/>
      <c r="D44" s="139">
        <v>21860</v>
      </c>
      <c r="E44" s="64"/>
    </row>
    <row r="45" spans="1:5" hidden="1">
      <c r="A45" s="73">
        <v>10011</v>
      </c>
      <c r="B45" s="67" t="s">
        <v>196</v>
      </c>
      <c r="C45" s="63"/>
      <c r="D45" s="140">
        <v>2423</v>
      </c>
      <c r="E45" s="64"/>
    </row>
    <row r="46" spans="1:5" hidden="1">
      <c r="A46" s="73">
        <v>10025</v>
      </c>
      <c r="B46" s="70" t="s">
        <v>197</v>
      </c>
      <c r="C46" s="63"/>
      <c r="D46" s="140">
        <f>IF(D44=0,"0",0.3*D43/D44)*10000000</f>
        <v>59261.665141811529</v>
      </c>
      <c r="E46" s="64"/>
    </row>
    <row r="47" spans="1:5" hidden="1">
      <c r="A47" s="73">
        <v>10026</v>
      </c>
      <c r="B47" s="70" t="s">
        <v>198</v>
      </c>
      <c r="C47" s="63"/>
      <c r="D47" s="140">
        <f>IF(D45=0,"0",0.7*D43/D45)*10000000</f>
        <v>1247519.6037969459</v>
      </c>
      <c r="E47" s="64"/>
    </row>
    <row r="48" spans="1:5" hidden="1"/>
    <row r="50" spans="1:5">
      <c r="A50" s="72" t="s">
        <v>438</v>
      </c>
      <c r="D50" s="74"/>
    </row>
    <row r="51" spans="1:5">
      <c r="A51" s="68" t="s">
        <v>148</v>
      </c>
      <c r="B51" s="68" t="s">
        <v>0</v>
      </c>
      <c r="C51" s="69" t="s">
        <v>149</v>
      </c>
      <c r="D51" s="76" t="s">
        <v>195</v>
      </c>
      <c r="E51" s="69" t="s">
        <v>101</v>
      </c>
    </row>
    <row r="52" spans="1:5">
      <c r="A52" s="73">
        <v>10001</v>
      </c>
      <c r="B52" s="65" t="s">
        <v>150</v>
      </c>
      <c r="C52" s="63"/>
      <c r="D52" s="66">
        <v>634.26</v>
      </c>
      <c r="E52" s="64"/>
    </row>
    <row r="53" spans="1:5">
      <c r="A53" s="73">
        <v>10014</v>
      </c>
      <c r="B53" s="67" t="s">
        <v>151</v>
      </c>
      <c r="C53" s="63"/>
      <c r="D53" s="139">
        <v>21582</v>
      </c>
      <c r="E53" s="64"/>
    </row>
    <row r="54" spans="1:5">
      <c r="A54" s="73">
        <v>10011</v>
      </c>
      <c r="B54" s="67" t="s">
        <v>196</v>
      </c>
      <c r="C54" s="63"/>
      <c r="D54" s="140">
        <v>2667</v>
      </c>
      <c r="E54" s="64"/>
    </row>
    <row r="55" spans="1:5">
      <c r="A55" s="73">
        <v>10025</v>
      </c>
      <c r="B55" s="70" t="s">
        <v>197</v>
      </c>
      <c r="C55" s="63"/>
      <c r="D55" s="140">
        <f>IF(D53=0,"0",0.3*D52/D53)*10000000</f>
        <v>88165.137614678897</v>
      </c>
      <c r="E55" s="64"/>
    </row>
    <row r="56" spans="1:5">
      <c r="A56" s="73">
        <v>10026</v>
      </c>
      <c r="B56" s="70" t="s">
        <v>198</v>
      </c>
      <c r="C56" s="63"/>
      <c r="D56" s="140">
        <f>IF(D54=0,"0",0.7*D52/D54)*10000000</f>
        <v>1664724.4094488188</v>
      </c>
      <c r="E56" s="64"/>
    </row>
    <row r="59" spans="1:5">
      <c r="A59" s="72" t="s">
        <v>433</v>
      </c>
      <c r="D59" s="74"/>
    </row>
    <row r="60" spans="1:5">
      <c r="A60" s="68" t="s">
        <v>148</v>
      </c>
      <c r="B60" s="68" t="s">
        <v>0</v>
      </c>
      <c r="C60" s="69" t="s">
        <v>149</v>
      </c>
      <c r="D60" s="76" t="s">
        <v>195</v>
      </c>
      <c r="E60" s="69" t="s">
        <v>101</v>
      </c>
    </row>
    <row r="61" spans="1:5">
      <c r="A61" s="73">
        <v>10001</v>
      </c>
      <c r="B61" s="65" t="s">
        <v>150</v>
      </c>
      <c r="C61" s="63"/>
      <c r="D61" s="66">
        <f>+((D62*D64)+(D63*D65))/10000000</f>
        <v>791.53327737941197</v>
      </c>
      <c r="E61" s="64"/>
    </row>
    <row r="62" spans="1:5">
      <c r="A62" s="73">
        <v>10014</v>
      </c>
      <c r="B62" s="67" t="s">
        <v>151</v>
      </c>
      <c r="C62" s="63"/>
      <c r="D62" s="139">
        <f>+'O&amp;M'!G35</f>
        <v>24747</v>
      </c>
      <c r="E62" s="64"/>
    </row>
    <row r="63" spans="1:5">
      <c r="A63" s="73">
        <v>10011</v>
      </c>
      <c r="B63" s="67" t="s">
        <v>196</v>
      </c>
      <c r="C63" s="63"/>
      <c r="D63" s="140">
        <f>+'O&amp;M'!G36</f>
        <v>3105</v>
      </c>
      <c r="E63" s="64"/>
    </row>
    <row r="64" spans="1:5">
      <c r="A64" s="73">
        <v>10025</v>
      </c>
      <c r="B64" s="70" t="s">
        <v>197</v>
      </c>
      <c r="C64" s="63"/>
      <c r="D64" s="140">
        <f>+D55*107.68/100</f>
        <v>94936.22018348625</v>
      </c>
      <c r="E64" s="64"/>
    </row>
    <row r="65" spans="1:5">
      <c r="A65" s="73">
        <v>10026</v>
      </c>
      <c r="B65" s="70" t="s">
        <v>198</v>
      </c>
      <c r="C65" s="63"/>
      <c r="D65" s="140">
        <f>+D56*107.68/100</f>
        <v>1792575.244094488</v>
      </c>
      <c r="E65" s="64"/>
    </row>
    <row r="68" spans="1:5">
      <c r="A68" s="72" t="s">
        <v>434</v>
      </c>
      <c r="D68" s="74"/>
    </row>
    <row r="69" spans="1:5">
      <c r="A69" s="68" t="s">
        <v>148</v>
      </c>
      <c r="B69" s="68" t="s">
        <v>0</v>
      </c>
      <c r="C69" s="69" t="s">
        <v>149</v>
      </c>
      <c r="D69" s="76" t="s">
        <v>195</v>
      </c>
      <c r="E69" s="69" t="s">
        <v>101</v>
      </c>
    </row>
    <row r="70" spans="1:5">
      <c r="A70" s="73">
        <v>10001</v>
      </c>
      <c r="B70" s="65" t="s">
        <v>150</v>
      </c>
      <c r="C70" s="63"/>
      <c r="D70" s="66">
        <f>+((D71*D73)+(D72*D74))/10000000</f>
        <v>937.6968528113274</v>
      </c>
      <c r="E70" s="64"/>
    </row>
    <row r="71" spans="1:5">
      <c r="A71" s="73">
        <v>10014</v>
      </c>
      <c r="B71" s="67" t="s">
        <v>151</v>
      </c>
      <c r="C71" s="63"/>
      <c r="D71" s="139">
        <f>+'O&amp;M'!H35</f>
        <v>26603</v>
      </c>
      <c r="E71" s="64"/>
    </row>
    <row r="72" spans="1:5">
      <c r="A72" s="73">
        <v>10011</v>
      </c>
      <c r="B72" s="67" t="s">
        <v>196</v>
      </c>
      <c r="C72" s="63"/>
      <c r="D72" s="140">
        <f>+'O&amp;M'!H36</f>
        <v>3449</v>
      </c>
      <c r="E72" s="64"/>
    </row>
    <row r="73" spans="1:5">
      <c r="A73" s="73">
        <v>10025</v>
      </c>
      <c r="B73" s="70" t="s">
        <v>197</v>
      </c>
      <c r="C73" s="63"/>
      <c r="D73" s="140">
        <f>+D64*107.68/100</f>
        <v>102227.321893578</v>
      </c>
      <c r="E73" s="64"/>
    </row>
    <row r="74" spans="1:5">
      <c r="A74" s="73">
        <v>10026</v>
      </c>
      <c r="B74" s="70" t="s">
        <v>198</v>
      </c>
      <c r="C74" s="63"/>
      <c r="D74" s="140">
        <f>+D65*107.68/100</f>
        <v>1930245.0228409448</v>
      </c>
      <c r="E74" s="64"/>
    </row>
    <row r="77" spans="1:5">
      <c r="A77" s="72" t="s">
        <v>435</v>
      </c>
      <c r="D77" s="74"/>
    </row>
    <row r="78" spans="1:5">
      <c r="A78" s="68" t="s">
        <v>148</v>
      </c>
      <c r="B78" s="68" t="s">
        <v>0</v>
      </c>
      <c r="C78" s="69" t="s">
        <v>149</v>
      </c>
      <c r="D78" s="76" t="s">
        <v>195</v>
      </c>
      <c r="E78" s="69" t="s">
        <v>101</v>
      </c>
    </row>
    <row r="79" spans="1:5">
      <c r="A79" s="73">
        <v>10001</v>
      </c>
      <c r="B79" s="65" t="s">
        <v>150</v>
      </c>
      <c r="C79" s="63"/>
      <c r="D79" s="66">
        <f>+((D80*D82)+(D81*D83))/10000000</f>
        <v>1048.0392695526336</v>
      </c>
      <c r="E79" s="64"/>
    </row>
    <row r="80" spans="1:5">
      <c r="A80" s="73">
        <v>10014</v>
      </c>
      <c r="B80" s="67" t="s">
        <v>151</v>
      </c>
      <c r="C80" s="63"/>
      <c r="D80" s="139">
        <f>+'O&amp;M'!I35</f>
        <v>27498</v>
      </c>
      <c r="E80" s="64"/>
    </row>
    <row r="81" spans="1:5">
      <c r="A81" s="73">
        <v>10011</v>
      </c>
      <c r="B81" s="67" t="s">
        <v>196</v>
      </c>
      <c r="C81" s="63"/>
      <c r="D81" s="140">
        <f>+'O&amp;M'!I36</f>
        <v>3586</v>
      </c>
      <c r="E81" s="64"/>
    </row>
    <row r="82" spans="1:5">
      <c r="A82" s="73">
        <v>10025</v>
      </c>
      <c r="B82" s="70" t="s">
        <v>197</v>
      </c>
      <c r="C82" s="63"/>
      <c r="D82" s="140">
        <f>+D73*107.68/100</f>
        <v>110078.3802150048</v>
      </c>
      <c r="E82" s="64"/>
    </row>
    <row r="83" spans="1:5">
      <c r="A83" s="73">
        <v>10026</v>
      </c>
      <c r="B83" s="70" t="s">
        <v>198</v>
      </c>
      <c r="C83" s="63"/>
      <c r="D83" s="140">
        <f>+D74*107.68/100</f>
        <v>2078487.8405951294</v>
      </c>
      <c r="E83" s="64"/>
    </row>
    <row r="86" spans="1:5">
      <c r="A86" s="72" t="s">
        <v>436</v>
      </c>
      <c r="D86" s="74"/>
    </row>
    <row r="87" spans="1:5">
      <c r="A87" s="68" t="s">
        <v>148</v>
      </c>
      <c r="B87" s="68" t="s">
        <v>0</v>
      </c>
      <c r="C87" s="69" t="s">
        <v>149</v>
      </c>
      <c r="D87" s="76" t="s">
        <v>195</v>
      </c>
      <c r="E87" s="69" t="s">
        <v>101</v>
      </c>
    </row>
    <row r="88" spans="1:5">
      <c r="A88" s="73">
        <v>10001</v>
      </c>
      <c r="B88" s="65" t="s">
        <v>150</v>
      </c>
      <c r="C88" s="63"/>
      <c r="D88" s="66">
        <f>+((D89*D91)+(D90*D92))/10000000</f>
        <v>1141.6598353714764</v>
      </c>
      <c r="E88" s="64"/>
    </row>
    <row r="89" spans="1:5">
      <c r="A89" s="73">
        <v>10014</v>
      </c>
      <c r="B89" s="67" t="s">
        <v>151</v>
      </c>
      <c r="C89" s="63"/>
      <c r="D89" s="139">
        <f>+'O&amp;M'!J35</f>
        <v>28096</v>
      </c>
      <c r="E89" s="64"/>
    </row>
    <row r="90" spans="1:5">
      <c r="A90" s="73">
        <v>10011</v>
      </c>
      <c r="B90" s="67" t="s">
        <v>196</v>
      </c>
      <c r="C90" s="63"/>
      <c r="D90" s="140">
        <f>+'O&amp;M'!J36</f>
        <v>3613</v>
      </c>
      <c r="E90" s="64"/>
    </row>
    <row r="91" spans="1:5">
      <c r="A91" s="73">
        <v>10025</v>
      </c>
      <c r="B91" s="70" t="s">
        <v>197</v>
      </c>
      <c r="C91" s="63"/>
      <c r="D91" s="140">
        <f>+D82*107.68/100</f>
        <v>118532.39981551719</v>
      </c>
      <c r="E91" s="64"/>
    </row>
    <row r="92" spans="1:5">
      <c r="A92" s="73">
        <v>10026</v>
      </c>
      <c r="B92" s="70" t="s">
        <v>198</v>
      </c>
      <c r="C92" s="63"/>
      <c r="D92" s="140">
        <f>+D83*107.68/100</f>
        <v>2238115.7067528353</v>
      </c>
      <c r="E92" s="64"/>
    </row>
    <row r="95" spans="1:5">
      <c r="A95" s="72" t="s">
        <v>437</v>
      </c>
      <c r="D95" s="74"/>
    </row>
    <row r="96" spans="1:5">
      <c r="A96" s="68" t="s">
        <v>148</v>
      </c>
      <c r="B96" s="68" t="s">
        <v>0</v>
      </c>
      <c r="C96" s="69" t="s">
        <v>149</v>
      </c>
      <c r="D96" s="76" t="s">
        <v>195</v>
      </c>
      <c r="E96" s="69" t="s">
        <v>101</v>
      </c>
    </row>
    <row r="97" spans="1:5">
      <c r="A97" s="73">
        <v>10001</v>
      </c>
      <c r="B97" s="65" t="s">
        <v>150</v>
      </c>
      <c r="C97" s="63"/>
      <c r="D97" s="66">
        <f>+((D98*D100)+(D99*D101))/10000000</f>
        <v>1245.0615149910104</v>
      </c>
      <c r="E97" s="64"/>
    </row>
    <row r="98" spans="1:5">
      <c r="A98" s="73">
        <v>10014</v>
      </c>
      <c r="B98" s="67" t="s">
        <v>151</v>
      </c>
      <c r="C98" s="63"/>
      <c r="D98" s="139">
        <f>+'O&amp;M'!K35</f>
        <v>28497</v>
      </c>
      <c r="E98" s="64"/>
    </row>
    <row r="99" spans="1:5">
      <c r="A99" s="73">
        <v>10011</v>
      </c>
      <c r="B99" s="67" t="s">
        <v>196</v>
      </c>
      <c r="C99" s="63"/>
      <c r="D99" s="140">
        <f>+'O&amp;M'!K36</f>
        <v>3657</v>
      </c>
      <c r="E99" s="64"/>
    </row>
    <row r="100" spans="1:5">
      <c r="A100" s="73">
        <v>10025</v>
      </c>
      <c r="B100" s="70" t="s">
        <v>197</v>
      </c>
      <c r="C100" s="63"/>
      <c r="D100" s="140">
        <f>+D91*107.68/100</f>
        <v>127635.68812134891</v>
      </c>
      <c r="E100" s="64"/>
    </row>
    <row r="101" spans="1:5">
      <c r="A101" s="73">
        <v>10026</v>
      </c>
      <c r="B101" s="70" t="s">
        <v>198</v>
      </c>
      <c r="C101" s="63"/>
      <c r="D101" s="140">
        <f>+D92*107.68/100</f>
        <v>2410002.9930314533</v>
      </c>
      <c r="E101" s="64"/>
    </row>
  </sheetData>
  <protectedRanges>
    <protectedRange sqref="D7:D9 E7:E11 E16:E20 D25:D27 E25:E29 D34:D36 E34:E38 D43:D45 E43:E47 D52:D54 E52:E56 D61:D63 E61:E65 E70:E74 E79:E83 E88:E92 E97:E101 D16:D18 D70:D72 D79:D81 D88:D90 D97:D99" name="Range1"/>
  </protectedRanges>
  <phoneticPr fontId="3" type="noConversion"/>
  <dataValidations count="2">
    <dataValidation type="decimal" allowBlank="1" showInputMessage="1" sqref="D7:D9 D88:D90 D25:D27 D34:D36 D43:D45 D52:D54 D61:D63 D16:D18 D70:D72 D79:D81 D97:D99">
      <formula1>-1000000000000000</formula1>
      <formula2>1000000000000000</formula2>
    </dataValidation>
    <dataValidation allowBlank="1" showInputMessage="1" sqref="D10:D11 B7:C11 B5:B6 B97:C101 E14:E20 B14:D15 A14:A20 B16:C20 D91:D92 E23:E29 B23:D24 A23:A29 B25:C29 D28:D29 E32:E38 B32:D33 A32:A38 B34:C38 D37:D38 E41:E47 B41:D42 A41:A47 B43:C47 D46:D47 E50:E56 B50:D51 A50:A56 B52:C56 D55:D56 E59:E65 B59:D60 A59:A65 B61:C65 D19:D20 E68:E74 B68:D69 A68:A74 B70:C74 D64:D65 E77:E83 B77:D78 A77:A83 B79:C83 D73:D74 E86:E92 B86:D87 A86:A92 B88:C92 D82:D83 E95:E101 B95:D96 A95:A101 D100:D101 B1:B2 A1:A11 C1:D6 E1:E11"/>
  </dataValidations>
  <pageMargins left="0.75" right="0.56999999999999995" top="0.44" bottom="0.49" header="0.23" footer="0.2"/>
  <pageSetup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dimension ref="A1:L12"/>
  <sheetViews>
    <sheetView showGridLines="0" view="pageBreakPreview" zoomScaleSheetLayoutView="100" workbookViewId="0">
      <selection activeCell="J10" sqref="J10"/>
    </sheetView>
  </sheetViews>
  <sheetFormatPr defaultRowHeight="12.75"/>
  <cols>
    <col min="1" max="1" width="37.140625" customWidth="1"/>
    <col min="2" max="2" width="6.7109375" hidden="1" customWidth="1"/>
    <col min="3" max="6" width="7.5703125" hidden="1" customWidth="1"/>
    <col min="7" max="7" width="12.5703125" customWidth="1"/>
    <col min="8" max="8" width="11.5703125" customWidth="1"/>
    <col min="9" max="10" width="9.5703125" customWidth="1"/>
    <col min="11" max="11" width="10.5703125" customWidth="1"/>
    <col min="12" max="12" width="9.5703125" customWidth="1"/>
  </cols>
  <sheetData>
    <row r="1" spans="1:12">
      <c r="A1" s="11"/>
    </row>
    <row r="2" spans="1:12">
      <c r="A2" s="56" t="s">
        <v>143</v>
      </c>
    </row>
    <row r="3" spans="1:12">
      <c r="A3" s="6"/>
      <c r="J3" t="s">
        <v>365</v>
      </c>
    </row>
    <row r="4" spans="1:12" ht="27.75" customHeight="1">
      <c r="A4" s="101" t="s">
        <v>121</v>
      </c>
      <c r="B4" s="102" t="s">
        <v>12</v>
      </c>
      <c r="C4" s="103" t="s">
        <v>18</v>
      </c>
      <c r="D4" s="103" t="s">
        <v>19</v>
      </c>
      <c r="E4" s="103" t="s">
        <v>20</v>
      </c>
      <c r="F4" s="103" t="s">
        <v>21</v>
      </c>
      <c r="G4" s="164" t="s">
        <v>432</v>
      </c>
      <c r="H4" s="103" t="s">
        <v>433</v>
      </c>
      <c r="I4" s="103" t="s">
        <v>434</v>
      </c>
      <c r="J4" s="103" t="s">
        <v>435</v>
      </c>
      <c r="K4" s="103" t="s">
        <v>436</v>
      </c>
      <c r="L4" s="103" t="s">
        <v>437</v>
      </c>
    </row>
    <row r="5" spans="1:12" ht="19.5" customHeight="1">
      <c r="A5" s="185" t="s">
        <v>474</v>
      </c>
      <c r="B5" s="61"/>
      <c r="C5" s="230">
        <f>+'1.0'!C5</f>
        <v>298.02</v>
      </c>
      <c r="D5" s="230">
        <f>+'1.0'!D5</f>
        <v>392.46</v>
      </c>
      <c r="E5" s="230">
        <f>+'1.0'!E5</f>
        <v>491.83000000000004</v>
      </c>
      <c r="F5" s="230">
        <f>+'1.0'!F5</f>
        <v>502.65999999999997</v>
      </c>
      <c r="G5" s="127">
        <f>+'1.0'!G5</f>
        <v>713.49</v>
      </c>
      <c r="H5" s="127">
        <f>+'1.0'!H5</f>
        <v>912.41227737941199</v>
      </c>
      <c r="I5" s="127">
        <f>+'1.0'!I5</f>
        <v>1070.6637528113274</v>
      </c>
      <c r="J5" s="127">
        <f>+'1.0'!J5</f>
        <v>1194.3028595526337</v>
      </c>
      <c r="K5" s="127">
        <f>+'1.0'!K5</f>
        <v>1302.5497843714766</v>
      </c>
      <c r="L5" s="127">
        <f>+'1.0'!L5</f>
        <v>1422.0404588910105</v>
      </c>
    </row>
    <row r="6" spans="1:12" ht="19.5" customHeight="1">
      <c r="A6" s="231" t="s">
        <v>144</v>
      </c>
      <c r="B6" s="61"/>
      <c r="C6" s="230"/>
      <c r="D6" s="230"/>
      <c r="E6" s="230"/>
      <c r="F6" s="230"/>
      <c r="G6" s="127"/>
      <c r="H6" s="127"/>
      <c r="I6" s="127"/>
      <c r="J6" s="127"/>
      <c r="K6" s="127"/>
      <c r="L6" s="127"/>
    </row>
    <row r="7" spans="1:12" ht="25.5">
      <c r="A7" s="227" t="s">
        <v>145</v>
      </c>
      <c r="B7" s="130"/>
      <c r="C7" s="118">
        <f>+C5/303*45</f>
        <v>44.260396039603961</v>
      </c>
      <c r="D7" s="118">
        <f>+D5/365*45</f>
        <v>48.385479452054788</v>
      </c>
      <c r="E7" s="118">
        <f t="shared" ref="E7:L7" si="0">+E5/365*45</f>
        <v>60.636575342465754</v>
      </c>
      <c r="F7" s="118">
        <f t="shared" si="0"/>
        <v>61.971780821917804</v>
      </c>
      <c r="G7" s="136">
        <f t="shared" si="0"/>
        <v>87.964520547945213</v>
      </c>
      <c r="H7" s="136">
        <f t="shared" si="0"/>
        <v>112.48918488239326</v>
      </c>
      <c r="I7" s="136">
        <f t="shared" si="0"/>
        <v>131.99964075756091</v>
      </c>
      <c r="J7" s="136">
        <f t="shared" si="0"/>
        <v>147.24281830100963</v>
      </c>
      <c r="K7" s="136">
        <f t="shared" si="0"/>
        <v>160.58832958004507</v>
      </c>
      <c r="L7" s="136">
        <f t="shared" si="0"/>
        <v>175.32005657560404</v>
      </c>
    </row>
    <row r="10" spans="1:12">
      <c r="G10" s="16"/>
      <c r="H10" s="16"/>
      <c r="I10" s="16"/>
      <c r="J10" s="16"/>
      <c r="K10" s="16"/>
      <c r="L10" s="16"/>
    </row>
    <row r="11" spans="1:12">
      <c r="G11" s="16"/>
      <c r="H11" s="16"/>
      <c r="I11" s="16"/>
      <c r="J11" s="16"/>
      <c r="K11" s="16"/>
      <c r="L11" s="16"/>
    </row>
    <row r="12" spans="1:12">
      <c r="G12" s="16"/>
      <c r="H12" s="16"/>
      <c r="I12" s="16"/>
      <c r="J12" s="16"/>
      <c r="K12" s="16"/>
      <c r="L12" s="16"/>
    </row>
  </sheetData>
  <phoneticPr fontId="3" type="noConversion"/>
  <dataValidations disablePrompts="1" count="1">
    <dataValidation type="decimal" allowBlank="1" showInputMessage="1" showErrorMessage="1" error="Enter in number format only" sqref="B4">
      <formula1>-1000000000000000</formula1>
      <formula2>100000000000000000</formula2>
    </dataValidation>
  </dataValidations>
  <printOptions horizontalCentered="1"/>
  <pageMargins left="0.75" right="0.75" top="1" bottom="1" header="0.5" footer="0.5"/>
  <pageSetup paperSize="9" orientation="landscape" verticalDpi="4294967295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dimension ref="A1:M9"/>
  <sheetViews>
    <sheetView showGridLines="0" view="pageBreakPreview" zoomScaleSheetLayoutView="100" workbookViewId="0">
      <selection activeCell="I9" sqref="I9"/>
    </sheetView>
  </sheetViews>
  <sheetFormatPr defaultRowHeight="12.75"/>
  <cols>
    <col min="1" max="1" width="28.5703125" customWidth="1"/>
    <col min="2" max="2" width="6.7109375" hidden="1" customWidth="1"/>
    <col min="3" max="7" width="7.5703125" hidden="1" customWidth="1"/>
    <col min="8" max="8" width="12" bestFit="1" customWidth="1"/>
    <col min="9" max="9" width="9.85546875" bestFit="1" customWidth="1"/>
    <col min="10" max="13" width="7.7109375" bestFit="1" customWidth="1"/>
  </cols>
  <sheetData>
    <row r="1" spans="1:13">
      <c r="A1" s="16"/>
    </row>
    <row r="2" spans="1:13">
      <c r="A2" s="16"/>
    </row>
    <row r="3" spans="1:13">
      <c r="A3" s="39" t="s">
        <v>140</v>
      </c>
      <c r="K3" s="307" t="s">
        <v>411</v>
      </c>
      <c r="L3" s="307"/>
    </row>
    <row r="4" spans="1:13">
      <c r="A4" s="1"/>
    </row>
    <row r="5" spans="1:13" ht="26.25" customHeight="1">
      <c r="A5" s="53" t="s">
        <v>0</v>
      </c>
      <c r="B5" s="102" t="s">
        <v>12</v>
      </c>
      <c r="C5" s="103" t="s">
        <v>17</v>
      </c>
      <c r="D5" s="103" t="s">
        <v>18</v>
      </c>
      <c r="E5" s="103" t="s">
        <v>19</v>
      </c>
      <c r="F5" s="103" t="s">
        <v>20</v>
      </c>
      <c r="G5" s="103" t="s">
        <v>21</v>
      </c>
      <c r="H5" s="164" t="s">
        <v>432</v>
      </c>
      <c r="I5" s="103" t="s">
        <v>433</v>
      </c>
      <c r="J5" s="103" t="s">
        <v>434</v>
      </c>
      <c r="K5" s="103" t="s">
        <v>435</v>
      </c>
      <c r="L5" s="103" t="s">
        <v>436</v>
      </c>
      <c r="M5" s="103" t="s">
        <v>437</v>
      </c>
    </row>
    <row r="6" spans="1:13" ht="25.5">
      <c r="A6" s="54" t="s">
        <v>141</v>
      </c>
      <c r="B6" s="4"/>
      <c r="C6" s="4"/>
      <c r="D6" s="4"/>
      <c r="E6" s="4"/>
      <c r="F6" s="4"/>
      <c r="G6" s="4"/>
      <c r="H6" s="9"/>
      <c r="I6" s="228">
        <v>-367.15</v>
      </c>
      <c r="J6" s="193">
        <v>0</v>
      </c>
      <c r="K6" s="193">
        <v>0</v>
      </c>
      <c r="L6" s="193">
        <v>0</v>
      </c>
      <c r="M6" s="193">
        <v>0</v>
      </c>
    </row>
    <row r="7" spans="1:13" ht="23.25" customHeight="1">
      <c r="A7" s="41" t="s">
        <v>378</v>
      </c>
      <c r="B7" s="4"/>
      <c r="C7" s="4"/>
      <c r="D7" s="4">
        <v>11.07</v>
      </c>
      <c r="E7" s="4">
        <v>1.73</v>
      </c>
      <c r="F7" s="4">
        <v>3.88</v>
      </c>
      <c r="G7" s="4">
        <v>16.23</v>
      </c>
      <c r="H7" s="193">
        <v>8.48</v>
      </c>
      <c r="I7" s="193">
        <v>0</v>
      </c>
      <c r="J7" s="193">
        <v>0</v>
      </c>
      <c r="K7" s="193">
        <v>0</v>
      </c>
      <c r="L7" s="193">
        <v>0</v>
      </c>
      <c r="M7" s="193">
        <v>0</v>
      </c>
    </row>
    <row r="8" spans="1:13" ht="23.25" customHeight="1">
      <c r="A8" s="41" t="s">
        <v>379</v>
      </c>
      <c r="B8" s="4"/>
      <c r="C8" s="9"/>
      <c r="D8" s="4"/>
      <c r="E8" s="4">
        <v>-0.98</v>
      </c>
      <c r="F8" s="4"/>
      <c r="G8" s="4"/>
      <c r="H8" s="4"/>
      <c r="I8" s="4"/>
      <c r="J8" s="4"/>
      <c r="K8" s="4"/>
      <c r="L8" s="4"/>
      <c r="M8" s="4"/>
    </row>
    <row r="9" spans="1:13">
      <c r="A9" s="43" t="s">
        <v>142</v>
      </c>
      <c r="B9" s="43"/>
      <c r="C9" s="55">
        <f t="shared" ref="C9:M9" si="0">SUM(C6:C8)</f>
        <v>0</v>
      </c>
      <c r="D9" s="55">
        <f t="shared" si="0"/>
        <v>11.07</v>
      </c>
      <c r="E9" s="55">
        <f t="shared" si="0"/>
        <v>0.75</v>
      </c>
      <c r="F9" s="55">
        <f t="shared" si="0"/>
        <v>3.88</v>
      </c>
      <c r="G9" s="55">
        <f t="shared" si="0"/>
        <v>16.23</v>
      </c>
      <c r="H9" s="55">
        <f t="shared" si="0"/>
        <v>8.48</v>
      </c>
      <c r="I9" s="229">
        <f t="shared" si="0"/>
        <v>-367.15</v>
      </c>
      <c r="J9" s="229">
        <f t="shared" si="0"/>
        <v>0</v>
      </c>
      <c r="K9" s="229">
        <f t="shared" si="0"/>
        <v>0</v>
      </c>
      <c r="L9" s="229">
        <f t="shared" si="0"/>
        <v>0</v>
      </c>
      <c r="M9" s="229">
        <f t="shared" si="0"/>
        <v>0</v>
      </c>
    </row>
  </sheetData>
  <mergeCells count="1">
    <mergeCell ref="K3:L3"/>
  </mergeCells>
  <phoneticPr fontId="3" type="noConversion"/>
  <dataValidations disablePrompts="1" count="1">
    <dataValidation type="decimal" allowBlank="1" showInputMessage="1" showErrorMessage="1" error="Enter in number format only" sqref="B5">
      <formula1>-1000000000000000</formula1>
      <formula2>100000000000000000</formula2>
    </dataValidation>
  </dataValidations>
  <printOptions horizontalCentered="1"/>
  <pageMargins left="0.75" right="0.75" top="1" bottom="1" header="0.5" footer="0.5"/>
  <pageSetup paperSize="9" orientation="landscape" verticalDpi="4294967295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>
  <dimension ref="A1:I70"/>
  <sheetViews>
    <sheetView view="pageBreakPreview" topLeftCell="A61" zoomScale="90" zoomScaleSheetLayoutView="90" workbookViewId="0">
      <selection activeCell="F64" sqref="F64"/>
    </sheetView>
  </sheetViews>
  <sheetFormatPr defaultRowHeight="12.75"/>
  <cols>
    <col min="1" max="1" width="33.5703125" customWidth="1"/>
    <col min="2" max="2" width="6.7109375" bestFit="1" customWidth="1"/>
    <col min="3" max="3" width="13.28515625" customWidth="1"/>
    <col min="4" max="4" width="11.85546875" customWidth="1"/>
    <col min="5" max="5" width="11.7109375" customWidth="1"/>
    <col min="6" max="6" width="11" customWidth="1"/>
    <col min="7" max="7" width="10.140625" customWidth="1"/>
  </cols>
  <sheetData>
    <row r="1" spans="1:7" hidden="1">
      <c r="A1" s="6" t="s">
        <v>131</v>
      </c>
      <c r="B1" s="16"/>
      <c r="C1" s="16"/>
      <c r="D1" s="16"/>
      <c r="E1" s="16"/>
      <c r="F1" s="16"/>
      <c r="G1" s="16"/>
    </row>
    <row r="2" spans="1:7" hidden="1">
      <c r="A2" s="7" t="s">
        <v>132</v>
      </c>
      <c r="B2" s="16"/>
      <c r="C2" s="16"/>
      <c r="D2" s="16"/>
      <c r="E2" s="16"/>
      <c r="F2" s="16"/>
      <c r="G2" s="16"/>
    </row>
    <row r="3" spans="1:7" hidden="1">
      <c r="A3" s="26"/>
      <c r="B3" s="16"/>
      <c r="C3" s="16"/>
      <c r="D3" s="16"/>
      <c r="E3" s="16"/>
      <c r="F3" s="16"/>
      <c r="G3" s="16"/>
    </row>
    <row r="4" spans="1:7" hidden="1">
      <c r="A4" s="16"/>
      <c r="B4" s="46"/>
      <c r="C4" s="16"/>
      <c r="D4" s="16"/>
      <c r="E4" s="16"/>
      <c r="F4" s="16"/>
      <c r="G4" s="16"/>
    </row>
    <row r="5" spans="1:7" hidden="1">
      <c r="A5" s="6" t="s">
        <v>17</v>
      </c>
      <c r="B5" s="46"/>
      <c r="C5" s="16"/>
      <c r="D5" s="16"/>
      <c r="E5" s="16"/>
      <c r="F5" s="16"/>
      <c r="G5" s="16"/>
    </row>
    <row r="6" spans="1:7" ht="58.5" hidden="1" customHeight="1">
      <c r="A6" s="48" t="s">
        <v>0</v>
      </c>
      <c r="B6" s="48" t="s">
        <v>12</v>
      </c>
      <c r="C6" s="48" t="s">
        <v>133</v>
      </c>
      <c r="D6" s="48" t="s">
        <v>98</v>
      </c>
      <c r="E6" s="48" t="s">
        <v>134</v>
      </c>
      <c r="F6" s="48" t="s">
        <v>135</v>
      </c>
      <c r="G6" s="48" t="s">
        <v>101</v>
      </c>
    </row>
    <row r="7" spans="1:7" s="62" customFormat="1" ht="25.5" hidden="1">
      <c r="A7" s="178" t="s">
        <v>453</v>
      </c>
      <c r="B7" s="47"/>
      <c r="C7" s="179"/>
      <c r="D7" s="179"/>
      <c r="E7" s="179"/>
      <c r="F7" s="180">
        <f>C7+D7-E7</f>
        <v>0</v>
      </c>
      <c r="G7" s="179"/>
    </row>
    <row r="8" spans="1:7" ht="15.75" hidden="1" customHeight="1">
      <c r="A8" s="49" t="s">
        <v>96</v>
      </c>
      <c r="B8" s="47"/>
      <c r="C8" s="8">
        <f>SUM(C7:C7)</f>
        <v>0</v>
      </c>
      <c r="D8" s="8">
        <f>SUM(D7:D7)</f>
        <v>0</v>
      </c>
      <c r="E8" s="8">
        <f>SUM(E7:E7)</f>
        <v>0</v>
      </c>
      <c r="F8" s="8">
        <f>SUM(F7:F7)</f>
        <v>0</v>
      </c>
      <c r="G8" s="8"/>
    </row>
    <row r="9" spans="1:7" hidden="1"/>
    <row r="10" spans="1:7" hidden="1"/>
    <row r="11" spans="1:7" hidden="1">
      <c r="A11" s="6" t="s">
        <v>18</v>
      </c>
      <c r="B11" s="46"/>
      <c r="C11" s="16"/>
      <c r="D11" s="16"/>
      <c r="E11" s="16"/>
      <c r="F11" s="16"/>
      <c r="G11" s="16"/>
    </row>
    <row r="12" spans="1:7" ht="63.75" hidden="1">
      <c r="A12" s="48" t="s">
        <v>0</v>
      </c>
      <c r="B12" s="48" t="s">
        <v>12</v>
      </c>
      <c r="C12" s="48" t="s">
        <v>133</v>
      </c>
      <c r="D12" s="48" t="s">
        <v>98</v>
      </c>
      <c r="E12" s="48" t="s">
        <v>134</v>
      </c>
      <c r="F12" s="48" t="s">
        <v>135</v>
      </c>
      <c r="G12" s="48" t="s">
        <v>101</v>
      </c>
    </row>
    <row r="13" spans="1:7" s="62" customFormat="1" ht="25.5" hidden="1">
      <c r="A13" s="178" t="s">
        <v>453</v>
      </c>
      <c r="B13" s="47"/>
      <c r="C13" s="179">
        <f>383.11+276.64+11.44</f>
        <v>671.19</v>
      </c>
      <c r="D13" s="179">
        <f>7.79+9.38</f>
        <v>17.170000000000002</v>
      </c>
      <c r="E13" s="179"/>
      <c r="F13" s="180">
        <f>C13+D13-E13</f>
        <v>688.36</v>
      </c>
      <c r="G13" s="179"/>
    </row>
    <row r="14" spans="1:7" ht="15.75" hidden="1" customHeight="1">
      <c r="A14" s="49" t="s">
        <v>96</v>
      </c>
      <c r="B14" s="47"/>
      <c r="C14" s="8">
        <f>SUM(C13:C13)</f>
        <v>671.19</v>
      </c>
      <c r="D14" s="8">
        <f>SUM(D13:D13)</f>
        <v>17.170000000000002</v>
      </c>
      <c r="E14" s="8">
        <f>SUM(E13:E13)</f>
        <v>0</v>
      </c>
      <c r="F14" s="8">
        <f>SUM(F13:F13)</f>
        <v>688.36</v>
      </c>
      <c r="G14" s="8"/>
    </row>
    <row r="15" spans="1:7" hidden="1"/>
    <row r="16" spans="1:7" hidden="1"/>
    <row r="17" spans="1:9" hidden="1">
      <c r="A17" s="6" t="s">
        <v>19</v>
      </c>
      <c r="B17" s="46"/>
      <c r="C17" s="16"/>
      <c r="D17" s="16"/>
      <c r="E17" s="16"/>
      <c r="F17" s="16"/>
      <c r="G17" s="16"/>
    </row>
    <row r="18" spans="1:9" ht="63.75" hidden="1">
      <c r="A18" s="48" t="s">
        <v>0</v>
      </c>
      <c r="B18" s="48" t="s">
        <v>12</v>
      </c>
      <c r="C18" s="48" t="s">
        <v>133</v>
      </c>
      <c r="D18" s="48" t="s">
        <v>98</v>
      </c>
      <c r="E18" s="48" t="s">
        <v>134</v>
      </c>
      <c r="F18" s="48" t="s">
        <v>135</v>
      </c>
      <c r="G18" s="48" t="s">
        <v>101</v>
      </c>
    </row>
    <row r="19" spans="1:9" s="62" customFormat="1" ht="25.5" hidden="1">
      <c r="A19" s="178" t="s">
        <v>453</v>
      </c>
      <c r="B19" s="47"/>
      <c r="C19" s="179">
        <f>+F13</f>
        <v>688.36</v>
      </c>
      <c r="D19" s="179">
        <f>737.27-688.36</f>
        <v>48.909999999999968</v>
      </c>
      <c r="E19" s="179"/>
      <c r="F19" s="180">
        <f>C19+D19-E19</f>
        <v>737.27</v>
      </c>
      <c r="G19" s="179"/>
    </row>
    <row r="20" spans="1:9" ht="15.75" hidden="1" customHeight="1">
      <c r="A20" s="49" t="s">
        <v>96</v>
      </c>
      <c r="B20" s="47"/>
      <c r="C20" s="8">
        <f>SUM(C19:C19)</f>
        <v>688.36</v>
      </c>
      <c r="D20" s="8">
        <f>SUM(D19:D19)</f>
        <v>48.909999999999968</v>
      </c>
      <c r="E20" s="8">
        <f>SUM(E19:E19)</f>
        <v>0</v>
      </c>
      <c r="F20" s="8">
        <f>SUM(F19:F19)</f>
        <v>737.27</v>
      </c>
      <c r="G20" s="8"/>
    </row>
    <row r="21" spans="1:9" hidden="1"/>
    <row r="22" spans="1:9" hidden="1"/>
    <row r="23" spans="1:9" hidden="1">
      <c r="A23" s="6" t="s">
        <v>20</v>
      </c>
      <c r="B23" s="46"/>
      <c r="C23" s="16"/>
      <c r="D23" s="16"/>
      <c r="E23" s="16"/>
      <c r="F23" s="16"/>
      <c r="G23" s="16"/>
    </row>
    <row r="24" spans="1:9" ht="52.5" hidden="1" customHeight="1">
      <c r="A24" s="48" t="s">
        <v>0</v>
      </c>
      <c r="B24" s="48" t="s">
        <v>12</v>
      </c>
      <c r="C24" s="48" t="s">
        <v>133</v>
      </c>
      <c r="D24" s="48" t="s">
        <v>98</v>
      </c>
      <c r="E24" s="48" t="s">
        <v>134</v>
      </c>
      <c r="F24" s="48" t="s">
        <v>135</v>
      </c>
      <c r="G24" s="48" t="s">
        <v>101</v>
      </c>
    </row>
    <row r="25" spans="1:9" s="62" customFormat="1" ht="25.5" hidden="1">
      <c r="A25" s="178" t="s">
        <v>453</v>
      </c>
      <c r="B25" s="47"/>
      <c r="C25" s="179">
        <f>+F19</f>
        <v>737.27</v>
      </c>
      <c r="D25" s="179"/>
      <c r="E25" s="179">
        <f>737.27-471.81+2.27</f>
        <v>267.72999999999996</v>
      </c>
      <c r="F25" s="180">
        <f>C25+D25-E25</f>
        <v>469.54</v>
      </c>
      <c r="G25" s="179"/>
      <c r="I25" s="62">
        <f>411.44+60.37</f>
        <v>471.81</v>
      </c>
    </row>
    <row r="26" spans="1:9" ht="15.75" hidden="1" customHeight="1">
      <c r="A26" s="49" t="s">
        <v>96</v>
      </c>
      <c r="B26" s="47"/>
      <c r="C26" s="8">
        <f>SUM(C25:C25)</f>
        <v>737.27</v>
      </c>
      <c r="D26" s="8">
        <f>SUM(D25:D25)</f>
        <v>0</v>
      </c>
      <c r="E26" s="8">
        <f>SUM(E25:E25)</f>
        <v>267.72999999999996</v>
      </c>
      <c r="F26" s="8">
        <f>SUM(F25:F25)</f>
        <v>469.54</v>
      </c>
      <c r="G26" s="8"/>
    </row>
    <row r="27" spans="1:9" hidden="1"/>
    <row r="28" spans="1:9" hidden="1"/>
    <row r="29" spans="1:9" hidden="1">
      <c r="A29" s="6" t="s">
        <v>21</v>
      </c>
      <c r="B29" s="46"/>
      <c r="C29" s="16"/>
      <c r="D29" s="16"/>
      <c r="E29" s="16"/>
      <c r="F29" s="16"/>
      <c r="G29" s="16"/>
    </row>
    <row r="30" spans="1:9" ht="54" hidden="1" customHeight="1">
      <c r="A30" s="48" t="s">
        <v>0</v>
      </c>
      <c r="B30" s="48" t="s">
        <v>12</v>
      </c>
      <c r="C30" s="48" t="s">
        <v>133</v>
      </c>
      <c r="D30" s="48" t="s">
        <v>98</v>
      </c>
      <c r="E30" s="48" t="s">
        <v>134</v>
      </c>
      <c r="F30" s="48" t="s">
        <v>135</v>
      </c>
      <c r="G30" s="48" t="s">
        <v>101</v>
      </c>
    </row>
    <row r="31" spans="1:9" s="62" customFormat="1" ht="25.5" hidden="1">
      <c r="A31" s="178" t="s">
        <v>453</v>
      </c>
      <c r="B31" s="47"/>
      <c r="C31" s="179">
        <f>+F25</f>
        <v>469.54</v>
      </c>
      <c r="D31" s="179">
        <v>181.3</v>
      </c>
      <c r="E31" s="179">
        <v>77.260000000000005</v>
      </c>
      <c r="F31" s="180">
        <f>C31+D31-E31</f>
        <v>573.58000000000004</v>
      </c>
      <c r="G31" s="179"/>
    </row>
    <row r="32" spans="1:9" ht="15.75" hidden="1" customHeight="1">
      <c r="A32" s="49" t="s">
        <v>96</v>
      </c>
      <c r="B32" s="47"/>
      <c r="C32" s="8">
        <f>SUM(C31:C31)</f>
        <v>469.54</v>
      </c>
      <c r="D32" s="8">
        <f>SUM(D31:D31)</f>
        <v>181.3</v>
      </c>
      <c r="E32" s="8">
        <f>SUM(E31:E31)</f>
        <v>77.260000000000005</v>
      </c>
      <c r="F32" s="8">
        <f>SUM(F31:F31)</f>
        <v>573.58000000000004</v>
      </c>
      <c r="G32" s="8"/>
    </row>
    <row r="33" spans="1:7" hidden="1"/>
    <row r="34" spans="1:7">
      <c r="A34" s="6" t="s">
        <v>131</v>
      </c>
    </row>
    <row r="35" spans="1:7">
      <c r="A35" s="7" t="s">
        <v>132</v>
      </c>
    </row>
    <row r="37" spans="1:7">
      <c r="A37" s="6" t="s">
        <v>438</v>
      </c>
      <c r="B37" s="46"/>
      <c r="C37" s="16"/>
      <c r="D37" s="16"/>
      <c r="E37" s="16"/>
      <c r="F37" s="16"/>
      <c r="G37" s="16"/>
    </row>
    <row r="38" spans="1:7" ht="54" customHeight="1">
      <c r="A38" s="48" t="s">
        <v>0</v>
      </c>
      <c r="B38" s="48" t="s">
        <v>12</v>
      </c>
      <c r="C38" s="48" t="s">
        <v>133</v>
      </c>
      <c r="D38" s="48" t="s">
        <v>98</v>
      </c>
      <c r="E38" s="48" t="s">
        <v>134</v>
      </c>
      <c r="F38" s="48" t="s">
        <v>135</v>
      </c>
      <c r="G38" s="48" t="s">
        <v>101</v>
      </c>
    </row>
    <row r="39" spans="1:7" s="62" customFormat="1" ht="25.5">
      <c r="A39" s="178" t="s">
        <v>453</v>
      </c>
      <c r="B39" s="47"/>
      <c r="C39" s="179">
        <f>+F31</f>
        <v>573.58000000000004</v>
      </c>
      <c r="D39" s="179">
        <f>1920.54-436.88-2.27</f>
        <v>1481.3899999999999</v>
      </c>
      <c r="E39" s="179">
        <f>+'10 (NTI)'!H11+'10 (NTI)'!H12</f>
        <v>136.69999999999999</v>
      </c>
      <c r="F39" s="180">
        <f>C39+D39-E39</f>
        <v>1918.2699999999998</v>
      </c>
      <c r="G39" s="179"/>
    </row>
    <row r="40" spans="1:7" ht="15.75" customHeight="1">
      <c r="A40" s="49" t="s">
        <v>96</v>
      </c>
      <c r="B40" s="47"/>
      <c r="C40" s="8">
        <f>SUM(C39:C39)</f>
        <v>573.58000000000004</v>
      </c>
      <c r="D40" s="8">
        <f>SUM(D39:D39)</f>
        <v>1481.3899999999999</v>
      </c>
      <c r="E40" s="8">
        <f>SUM(E39:E39)</f>
        <v>136.69999999999999</v>
      </c>
      <c r="F40" s="8">
        <f>SUM(F39:F39)</f>
        <v>1918.2699999999998</v>
      </c>
      <c r="G40" s="8"/>
    </row>
    <row r="43" spans="1:7">
      <c r="A43" s="6" t="s">
        <v>433</v>
      </c>
      <c r="B43" s="46"/>
      <c r="C43" s="16"/>
      <c r="D43" s="16"/>
      <c r="E43" s="16"/>
      <c r="F43" s="16"/>
      <c r="G43" s="16"/>
    </row>
    <row r="44" spans="1:7" ht="55.5" customHeight="1">
      <c r="A44" s="48" t="s">
        <v>0</v>
      </c>
      <c r="B44" s="48" t="s">
        <v>12</v>
      </c>
      <c r="C44" s="48" t="s">
        <v>133</v>
      </c>
      <c r="D44" s="48" t="s">
        <v>98</v>
      </c>
      <c r="E44" s="48" t="s">
        <v>134</v>
      </c>
      <c r="F44" s="48" t="s">
        <v>135</v>
      </c>
      <c r="G44" s="48" t="s">
        <v>101</v>
      </c>
    </row>
    <row r="45" spans="1:7" s="62" customFormat="1" ht="25.5">
      <c r="A45" s="178" t="s">
        <v>453</v>
      </c>
      <c r="B45" s="47"/>
      <c r="C45" s="179">
        <f>+F39</f>
        <v>1918.2699999999998</v>
      </c>
      <c r="D45" s="179">
        <f>+'[1]Summary (Net)'!$C$14+20.99+300</f>
        <v>1914.1899999999998</v>
      </c>
      <c r="E45" s="179">
        <f>+'10 (NTI)'!I11+'10 (NTI)'!I12</f>
        <v>238.83999999999997</v>
      </c>
      <c r="F45" s="180">
        <f>C45+D45-E45</f>
        <v>3593.6199999999994</v>
      </c>
      <c r="G45" s="179"/>
    </row>
    <row r="46" spans="1:7" ht="15.75" customHeight="1">
      <c r="A46" s="49" t="s">
        <v>96</v>
      </c>
      <c r="B46" s="47"/>
      <c r="C46" s="8">
        <f>SUM(C45:C45)</f>
        <v>1918.2699999999998</v>
      </c>
      <c r="D46" s="8">
        <f>SUM(D45:D45)</f>
        <v>1914.1899999999998</v>
      </c>
      <c r="E46" s="8">
        <f>SUM(E45:E45)</f>
        <v>238.83999999999997</v>
      </c>
      <c r="F46" s="8">
        <f>SUM(F45:F45)</f>
        <v>3593.6199999999994</v>
      </c>
      <c r="G46" s="8"/>
    </row>
    <row r="49" spans="1:7">
      <c r="A49" s="6" t="s">
        <v>434</v>
      </c>
      <c r="B49" s="46"/>
      <c r="C49" s="16"/>
      <c r="D49" s="16"/>
      <c r="E49" s="16"/>
      <c r="F49" s="16"/>
      <c r="G49" s="16"/>
    </row>
    <row r="50" spans="1:7" ht="53.25" customHeight="1">
      <c r="A50" s="48" t="s">
        <v>0</v>
      </c>
      <c r="B50" s="48" t="s">
        <v>12</v>
      </c>
      <c r="C50" s="48" t="s">
        <v>133</v>
      </c>
      <c r="D50" s="48" t="s">
        <v>98</v>
      </c>
      <c r="E50" s="48" t="s">
        <v>134</v>
      </c>
      <c r="F50" s="48" t="s">
        <v>135</v>
      </c>
      <c r="G50" s="48" t="s">
        <v>101</v>
      </c>
    </row>
    <row r="51" spans="1:7" s="62" customFormat="1" ht="25.5">
      <c r="A51" s="178" t="s">
        <v>453</v>
      </c>
      <c r="B51" s="47"/>
      <c r="C51" s="179">
        <f>+F45</f>
        <v>3593.6199999999994</v>
      </c>
      <c r="D51" s="179">
        <f>+'[1]Summary (Net)'!$D$15+30</f>
        <v>197.72</v>
      </c>
      <c r="E51" s="179">
        <f>+'10 (NTI)'!J11+'10 (NTI)'!J12</f>
        <v>295.90999999999997</v>
      </c>
      <c r="F51" s="180">
        <f>C51+D51-E51</f>
        <v>3495.4299999999994</v>
      </c>
      <c r="G51" s="179"/>
    </row>
    <row r="52" spans="1:7" ht="15.75" customHeight="1">
      <c r="A52" s="49" t="s">
        <v>96</v>
      </c>
      <c r="B52" s="47"/>
      <c r="C52" s="8">
        <f>SUM(C51:C51)</f>
        <v>3593.6199999999994</v>
      </c>
      <c r="D52" s="8">
        <f>SUM(D51:D51)</f>
        <v>197.72</v>
      </c>
      <c r="E52" s="8">
        <f>SUM(E51:E51)</f>
        <v>295.90999999999997</v>
      </c>
      <c r="F52" s="8">
        <f>SUM(F51:F51)</f>
        <v>3495.4299999999994</v>
      </c>
      <c r="G52" s="8"/>
    </row>
    <row r="55" spans="1:7">
      <c r="A55" s="6" t="s">
        <v>435</v>
      </c>
      <c r="B55" s="46"/>
      <c r="C55" s="16"/>
      <c r="D55" s="16"/>
      <c r="E55" s="16"/>
      <c r="F55" s="16"/>
      <c r="G55" s="16"/>
    </row>
    <row r="56" spans="1:7" ht="57.75" customHeight="1">
      <c r="A56" s="48" t="s">
        <v>0</v>
      </c>
      <c r="B56" s="48" t="s">
        <v>12</v>
      </c>
      <c r="C56" s="48" t="s">
        <v>133</v>
      </c>
      <c r="D56" s="48" t="s">
        <v>98</v>
      </c>
      <c r="E56" s="48" t="s">
        <v>134</v>
      </c>
      <c r="F56" s="48" t="s">
        <v>135</v>
      </c>
      <c r="G56" s="48" t="s">
        <v>101</v>
      </c>
    </row>
    <row r="57" spans="1:7" s="62" customFormat="1" ht="25.5">
      <c r="A57" s="178" t="s">
        <v>453</v>
      </c>
      <c r="B57" s="47"/>
      <c r="C57" s="179">
        <f>+F51</f>
        <v>3495.4299999999994</v>
      </c>
      <c r="D57" s="179">
        <f>+'[1]Summary (Net)'!$E$16+225</f>
        <v>1333.72</v>
      </c>
      <c r="E57" s="179">
        <f>+'10 (NTI)'!K11+'10 (NTI)'!K12</f>
        <v>351.16999999999996</v>
      </c>
      <c r="F57" s="180">
        <f>C57+D57-E57</f>
        <v>4477.9799999999996</v>
      </c>
      <c r="G57" s="179"/>
    </row>
    <row r="58" spans="1:7" ht="15.75" customHeight="1">
      <c r="A58" s="49" t="s">
        <v>96</v>
      </c>
      <c r="B58" s="47"/>
      <c r="C58" s="8">
        <f>SUM(C57:C57)</f>
        <v>3495.4299999999994</v>
      </c>
      <c r="D58" s="8">
        <f>SUM(D57:D57)</f>
        <v>1333.72</v>
      </c>
      <c r="E58" s="8">
        <f>SUM(E57:E57)</f>
        <v>351.16999999999996</v>
      </c>
      <c r="F58" s="8">
        <f>SUM(F57:F57)</f>
        <v>4477.9799999999996</v>
      </c>
      <c r="G58" s="8"/>
    </row>
    <row r="61" spans="1:7">
      <c r="A61" s="6" t="s">
        <v>436</v>
      </c>
      <c r="B61" s="46"/>
      <c r="C61" s="16"/>
      <c r="D61" s="16"/>
      <c r="E61" s="16"/>
      <c r="F61" s="16"/>
      <c r="G61" s="16"/>
    </row>
    <row r="62" spans="1:7" ht="54" customHeight="1">
      <c r="A62" s="48" t="s">
        <v>0</v>
      </c>
      <c r="B62" s="48" t="s">
        <v>12</v>
      </c>
      <c r="C62" s="48" t="s">
        <v>133</v>
      </c>
      <c r="D62" s="48" t="s">
        <v>98</v>
      </c>
      <c r="E62" s="48" t="s">
        <v>134</v>
      </c>
      <c r="F62" s="48" t="s">
        <v>135</v>
      </c>
      <c r="G62" s="48" t="s">
        <v>101</v>
      </c>
    </row>
    <row r="63" spans="1:7" s="62" customFormat="1" ht="25.5">
      <c r="A63" s="178" t="s">
        <v>453</v>
      </c>
      <c r="B63" s="47"/>
      <c r="C63" s="179">
        <f>+F57</f>
        <v>4477.9799999999996</v>
      </c>
      <c r="D63" s="179">
        <f>+'[1]Summary (Net)'!$F$17</f>
        <v>0</v>
      </c>
      <c r="E63" s="179">
        <f>+'10 (NTI)'!L11+'10 (NTI)'!L12</f>
        <v>350.51</v>
      </c>
      <c r="F63" s="180">
        <f>C63+D63-E63</f>
        <v>4127.4699999999993</v>
      </c>
      <c r="G63" s="179"/>
    </row>
    <row r="64" spans="1:7" ht="15.75" customHeight="1">
      <c r="A64" s="49" t="s">
        <v>96</v>
      </c>
      <c r="B64" s="47"/>
      <c r="C64" s="8">
        <f>SUM(C63:C63)</f>
        <v>4477.9799999999996</v>
      </c>
      <c r="D64" s="8">
        <f>SUM(D63:D63)</f>
        <v>0</v>
      </c>
      <c r="E64" s="8">
        <f>SUM(E63:E63)</f>
        <v>350.51</v>
      </c>
      <c r="F64" s="8">
        <f>SUM(F63:F63)</f>
        <v>4127.4699999999993</v>
      </c>
      <c r="G64" s="8"/>
    </row>
    <row r="67" spans="1:7">
      <c r="A67" s="6" t="s">
        <v>437</v>
      </c>
      <c r="B67" s="46"/>
      <c r="C67" s="16"/>
      <c r="D67" s="16"/>
      <c r="E67" s="16"/>
      <c r="F67" s="16"/>
      <c r="G67" s="16"/>
    </row>
    <row r="68" spans="1:7" ht="63.75">
      <c r="A68" s="48" t="s">
        <v>0</v>
      </c>
      <c r="B68" s="48" t="s">
        <v>12</v>
      </c>
      <c r="C68" s="48" t="s">
        <v>133</v>
      </c>
      <c r="D68" s="48" t="s">
        <v>98</v>
      </c>
      <c r="E68" s="48" t="s">
        <v>134</v>
      </c>
      <c r="F68" s="48" t="s">
        <v>135</v>
      </c>
      <c r="G68" s="48" t="s">
        <v>101</v>
      </c>
    </row>
    <row r="69" spans="1:7" s="62" customFormat="1" ht="25.5">
      <c r="A69" s="178" t="s">
        <v>453</v>
      </c>
      <c r="B69" s="47"/>
      <c r="C69" s="179">
        <f>+F63</f>
        <v>4127.4699999999993</v>
      </c>
      <c r="D69" s="179">
        <f>+'[1]Summary (Net)'!$G$18+375</f>
        <v>2275.84</v>
      </c>
      <c r="E69" s="179">
        <f>+'10 (NTI)'!M11+'10 (NTI)'!M12</f>
        <v>435.30999999999995</v>
      </c>
      <c r="F69" s="180">
        <f>C69+D69-E69</f>
        <v>5968</v>
      </c>
      <c r="G69" s="179"/>
    </row>
    <row r="70" spans="1:7" ht="15.75" customHeight="1">
      <c r="A70" s="49" t="s">
        <v>96</v>
      </c>
      <c r="B70" s="47"/>
      <c r="C70" s="8">
        <f>SUM(C69:C69)</f>
        <v>4127.4699999999993</v>
      </c>
      <c r="D70" s="8">
        <f>SUM(D69:D69)</f>
        <v>2275.84</v>
      </c>
      <c r="E70" s="8">
        <f>SUM(E69:E69)</f>
        <v>435.30999999999995</v>
      </c>
      <c r="F70" s="8">
        <f>SUM(F69:F69)</f>
        <v>5968</v>
      </c>
      <c r="G70" s="8"/>
    </row>
  </sheetData>
  <phoneticPr fontId="3" type="noConversion"/>
  <dataValidations count="3">
    <dataValidation type="decimal" operator="greaterThan" allowBlank="1" showInputMessage="1" showErrorMessage="1" sqref="C70:E70 C61:E62 F61:F64 C58:E58 C49:E50 F49:F52 C46:E46 C37:E38 F37:F40 C32:E32 C23:E24 F23:F26 C20:E20 C11:E12 F11:F14 C8:E8 C1:E6 F1:F8 C14:E14 F17:F20 C17:E18 C26:E26 F29:F32 C29:E30 C40:E40 F43:F46 C43:E44 C52:E52 F55:F58 C55:E56 C64:E64 F67:F70 C67:E68">
      <formula1>-1E+24</formula1>
    </dataValidation>
    <dataValidation type="decimal" allowBlank="1" showInputMessage="1" showErrorMessage="1" sqref="C69:E69 C63:E63 C51:E51 C39:E39 C25:E25 C13:E13 C7:E7 C19:E19 C31:E31 C45:E45 C57:E57">
      <formula1>-100000000000000000</formula1>
      <formula2>100000000000000000</formula2>
    </dataValidation>
    <dataValidation operator="greaterThan" allowBlank="1" showInputMessage="1" showErrorMessage="1" sqref="G61:G64 G49:G52 G37:G40 G23:G26 G11:G14 G1:G8 G17:G20 G29:G32 G43:G46 G55:G58 G67:G70"/>
  </dataValidations>
  <printOptions horizontalCentered="1"/>
  <pageMargins left="0.75" right="0.38" top="0.63" bottom="0.5" header="0.39" footer="0.23"/>
  <pageSetup paperSize="9" scale="88" orientation="portrait" r:id="rId1"/>
  <headerFooter alignWithMargins="0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>
  <dimension ref="A3:M15"/>
  <sheetViews>
    <sheetView showGridLines="0" view="pageBreakPreview" zoomScaleSheetLayoutView="100" workbookViewId="0">
      <selection activeCell="H11" sqref="H11:H15"/>
    </sheetView>
  </sheetViews>
  <sheetFormatPr defaultRowHeight="12.75"/>
  <cols>
    <col min="1" max="1" width="39.7109375" bestFit="1" customWidth="1"/>
    <col min="2" max="2" width="6.28515625" customWidth="1"/>
    <col min="3" max="3" width="7.7109375" hidden="1" customWidth="1"/>
    <col min="4" max="7" width="7.5703125" hidden="1" customWidth="1"/>
    <col min="8" max="8" width="12.5703125" customWidth="1"/>
    <col min="9" max="13" width="10.140625" customWidth="1"/>
  </cols>
  <sheetData>
    <row r="3" spans="1:13">
      <c r="A3" s="10" t="s">
        <v>129</v>
      </c>
      <c r="B3" s="25" t="s">
        <v>130</v>
      </c>
    </row>
    <row r="4" spans="1:13" ht="26.25" customHeight="1">
      <c r="A4" s="10"/>
      <c r="J4" s="279" t="s">
        <v>365</v>
      </c>
      <c r="K4" s="279"/>
      <c r="L4" s="279"/>
      <c r="M4" s="279"/>
    </row>
    <row r="5" spans="1:13" ht="33" customHeight="1">
      <c r="A5" s="105" t="s">
        <v>127</v>
      </c>
      <c r="B5" s="102" t="s">
        <v>12</v>
      </c>
      <c r="C5" s="103" t="s">
        <v>13</v>
      </c>
      <c r="D5" s="103" t="s">
        <v>14</v>
      </c>
      <c r="E5" s="103" t="s">
        <v>102</v>
      </c>
      <c r="F5" s="103" t="s">
        <v>15</v>
      </c>
      <c r="G5" s="103" t="s">
        <v>16</v>
      </c>
      <c r="H5" s="164" t="s">
        <v>432</v>
      </c>
      <c r="I5" s="103" t="s">
        <v>433</v>
      </c>
      <c r="J5" s="103" t="s">
        <v>434</v>
      </c>
      <c r="K5" s="103" t="s">
        <v>435</v>
      </c>
      <c r="L5" s="103" t="s">
        <v>436</v>
      </c>
      <c r="M5" s="103" t="s">
        <v>437</v>
      </c>
    </row>
    <row r="6" spans="1:13" ht="21" customHeight="1">
      <c r="A6" s="200" t="s">
        <v>412</v>
      </c>
      <c r="B6" s="200"/>
      <c r="C6" s="163" t="e">
        <f>+'1.0'!#REF!</f>
        <v>#REF!</v>
      </c>
      <c r="D6" s="163">
        <f>+'1.0'!C17</f>
        <v>642.86336571782169</v>
      </c>
      <c r="E6" s="163" t="e">
        <f>+'1.0'!D17</f>
        <v>#REF!</v>
      </c>
      <c r="F6" s="163" t="e">
        <f>+'1.0'!E17</f>
        <v>#REF!</v>
      </c>
      <c r="G6" s="163" t="e">
        <f>+'1.0'!F17</f>
        <v>#REF!</v>
      </c>
      <c r="H6" s="163">
        <f>+'1.0'!G17</f>
        <v>1869.8490332191782</v>
      </c>
      <c r="I6" s="163">
        <f>+'1.0'!H17</f>
        <v>2012.0779011293762</v>
      </c>
      <c r="J6" s="163">
        <f>+'1.0'!I17</f>
        <v>2828.1842605634956</v>
      </c>
      <c r="K6" s="163">
        <f>+'1.0'!J17</f>
        <v>3345.9802060862744</v>
      </c>
      <c r="L6" s="163">
        <f>+'1.0'!K17</f>
        <v>3974.3870714138957</v>
      </c>
      <c r="M6" s="163">
        <f>+'1.0'!L17</f>
        <v>4274.7737057218219</v>
      </c>
    </row>
    <row r="7" spans="1:13" ht="21" customHeight="1">
      <c r="A7" s="275" t="s">
        <v>413</v>
      </c>
      <c r="B7" s="200"/>
      <c r="C7" s="163">
        <f>+'1c (Rev.)'!C10</f>
        <v>0</v>
      </c>
      <c r="D7" s="163">
        <f>+'1c (Rev.)'!D10</f>
        <v>0</v>
      </c>
      <c r="E7" s="163">
        <f>+'1c (Rev.)'!E10</f>
        <v>0</v>
      </c>
      <c r="F7" s="163">
        <f>+'1c (Rev.)'!F10</f>
        <v>0</v>
      </c>
      <c r="G7" s="163" t="e">
        <f>+'1c (Rev.)'!G10</f>
        <v>#DIV/0!</v>
      </c>
      <c r="H7" s="163">
        <f>(+'1.1m(cap)'!H18*73.1243*12/10000)+346.9</f>
        <v>1755.0107705200003</v>
      </c>
      <c r="I7" s="163">
        <f>+'1.1m(cap)'!I18*73.1243*12/10000</f>
        <v>1336.9023271800002</v>
      </c>
      <c r="J7" s="163">
        <f>+'1.1m(cap)'!J18*73.1243*12/10000</f>
        <v>1541.2201037988004</v>
      </c>
      <c r="K7" s="163">
        <f>+'1.1m(cap)'!K18*73.1243*12/10000</f>
        <v>1541.6658695316</v>
      </c>
      <c r="L7" s="163">
        <f>+'1.1m(cap)'!L18*73.1243*12/10000</f>
        <v>1718.7805290588003</v>
      </c>
      <c r="M7" s="163">
        <f>+'1.1m(cap)'!M18*73.1243*12/10000</f>
        <v>1852.6997870844002</v>
      </c>
    </row>
    <row r="8" spans="1:13" ht="21" customHeight="1">
      <c r="A8" s="45" t="s">
        <v>414</v>
      </c>
      <c r="B8" s="200"/>
      <c r="C8" s="276" t="e">
        <f>+C7-C6</f>
        <v>#REF!</v>
      </c>
      <c r="D8" s="276">
        <f t="shared" ref="D8:M8" si="0">+D7-D6</f>
        <v>-642.86336571782169</v>
      </c>
      <c r="E8" s="276" t="e">
        <f t="shared" si="0"/>
        <v>#REF!</v>
      </c>
      <c r="F8" s="276" t="e">
        <f t="shared" si="0"/>
        <v>#REF!</v>
      </c>
      <c r="G8" s="276" t="e">
        <f t="shared" si="0"/>
        <v>#DIV/0!</v>
      </c>
      <c r="H8" s="277">
        <f t="shared" si="0"/>
        <v>-114.8382626991779</v>
      </c>
      <c r="I8" s="277">
        <f t="shared" si="0"/>
        <v>-675.17557394937603</v>
      </c>
      <c r="J8" s="277">
        <f t="shared" si="0"/>
        <v>-1286.9641567646952</v>
      </c>
      <c r="K8" s="277">
        <f t="shared" si="0"/>
        <v>-1804.3143365546744</v>
      </c>
      <c r="L8" s="277">
        <f t="shared" si="0"/>
        <v>-2255.6065423550954</v>
      </c>
      <c r="M8" s="277">
        <f t="shared" si="0"/>
        <v>-2422.0739186374217</v>
      </c>
    </row>
    <row r="10" spans="1:13">
      <c r="C10" s="16"/>
    </row>
    <row r="11" spans="1:13">
      <c r="H11" s="196"/>
      <c r="J11" s="16"/>
    </row>
    <row r="15" spans="1:13">
      <c r="H15" s="16"/>
    </row>
  </sheetData>
  <mergeCells count="1">
    <mergeCell ref="J4:M4"/>
  </mergeCells>
  <phoneticPr fontId="3" type="noConversion"/>
  <dataValidations count="2">
    <dataValidation type="decimal" operator="greaterThan" allowBlank="1" showInputMessage="1" showErrorMessage="1" sqref="C8:M8">
      <formula1>-100000000000000000</formula1>
    </dataValidation>
    <dataValidation type="decimal" allowBlank="1" showInputMessage="1" showErrorMessage="1" error="Enter in number format only" sqref="B5">
      <formula1>-1000000000000000</formula1>
      <formula2>100000000000000000</formula2>
    </dataValidation>
  </dataValidations>
  <printOptions horizontalCentered="1"/>
  <pageMargins left="0.37" right="0.36" top="1" bottom="1" header="0.5" footer="0.5"/>
  <pageSetup paperSize="9" scale="110" orientation="landscape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>
  <dimension ref="A3:M9"/>
  <sheetViews>
    <sheetView showGridLines="0" view="pageBreakPreview" zoomScaleSheetLayoutView="100" workbookViewId="0">
      <selection activeCell="M9" sqref="M9"/>
    </sheetView>
  </sheetViews>
  <sheetFormatPr defaultRowHeight="12.75"/>
  <cols>
    <col min="1" max="1" width="42.140625" customWidth="1"/>
    <col min="2" max="2" width="7.42578125" customWidth="1"/>
    <col min="3" max="4" width="7.5703125" hidden="1" customWidth="1"/>
    <col min="5" max="7" width="8.140625" hidden="1" customWidth="1"/>
    <col min="8" max="8" width="12.140625" hidden="1" customWidth="1"/>
    <col min="9" max="13" width="9.85546875" customWidth="1"/>
  </cols>
  <sheetData>
    <row r="3" spans="1:13">
      <c r="A3" s="10" t="s">
        <v>126</v>
      </c>
      <c r="B3" s="25" t="s">
        <v>128</v>
      </c>
    </row>
    <row r="4" spans="1:13">
      <c r="A4" s="10"/>
      <c r="J4" t="s">
        <v>365</v>
      </c>
    </row>
    <row r="5" spans="1:13" ht="27.75" customHeight="1">
      <c r="A5" s="105"/>
      <c r="B5" s="102" t="s">
        <v>12</v>
      </c>
      <c r="C5" s="103" t="s">
        <v>13</v>
      </c>
      <c r="D5" s="103" t="s">
        <v>14</v>
      </c>
      <c r="E5" s="103" t="s">
        <v>102</v>
      </c>
      <c r="F5" s="103" t="s">
        <v>15</v>
      </c>
      <c r="G5" s="103" t="s">
        <v>16</v>
      </c>
      <c r="H5" s="164" t="s">
        <v>432</v>
      </c>
      <c r="I5" s="103" t="s">
        <v>433</v>
      </c>
      <c r="J5" s="103" t="s">
        <v>434</v>
      </c>
      <c r="K5" s="103" t="s">
        <v>435</v>
      </c>
      <c r="L5" s="103" t="s">
        <v>436</v>
      </c>
      <c r="M5" s="103" t="s">
        <v>437</v>
      </c>
    </row>
    <row r="6" spans="1:13" ht="20.25" customHeight="1">
      <c r="A6" s="24" t="s">
        <v>412</v>
      </c>
      <c r="B6" s="4"/>
      <c r="C6" s="117" t="e">
        <f>+'1.0'!#REF!</f>
        <v>#REF!</v>
      </c>
      <c r="D6" s="117">
        <f>+'1.0'!C17</f>
        <v>642.86336571782169</v>
      </c>
      <c r="E6" s="117" t="e">
        <f>+'1.0'!D17</f>
        <v>#REF!</v>
      </c>
      <c r="F6" s="117" t="e">
        <f>+'1.0'!E17</f>
        <v>#REF!</v>
      </c>
      <c r="G6" s="117" t="e">
        <f>+'1.0'!F17</f>
        <v>#REF!</v>
      </c>
      <c r="H6" s="163">
        <f>+'1.0'!G17</f>
        <v>1869.8490332191782</v>
      </c>
      <c r="I6" s="163">
        <f>+'1.0'!H17</f>
        <v>2012.0779011293762</v>
      </c>
      <c r="J6" s="163">
        <f>+'1.0'!I17</f>
        <v>2828.1842605634956</v>
      </c>
      <c r="K6" s="163">
        <f>+'1.0'!J17</f>
        <v>3345.9802060862744</v>
      </c>
      <c r="L6" s="163">
        <f>+'1.0'!K17</f>
        <v>3974.3870714138957</v>
      </c>
      <c r="M6" s="163">
        <f>+'1.0'!L17</f>
        <v>4274.7737057218219</v>
      </c>
    </row>
    <row r="7" spans="1:13" ht="20.25" customHeight="1">
      <c r="A7" s="125" t="s">
        <v>415</v>
      </c>
      <c r="B7" s="4"/>
      <c r="C7" s="117">
        <f>+'8'!C7</f>
        <v>0</v>
      </c>
      <c r="D7" s="117">
        <f>+'8'!D7</f>
        <v>0</v>
      </c>
      <c r="E7" s="117">
        <f>+'8'!E7</f>
        <v>0</v>
      </c>
      <c r="F7" s="117">
        <f>+'8'!F7</f>
        <v>0</v>
      </c>
      <c r="G7" s="117" t="e">
        <f>+'8'!G7</f>
        <v>#DIV/0!</v>
      </c>
      <c r="H7" s="163">
        <f>+H6</f>
        <v>1869.8490332191782</v>
      </c>
      <c r="I7" s="163">
        <f t="shared" ref="I7:M7" si="0">+I6</f>
        <v>2012.0779011293762</v>
      </c>
      <c r="J7" s="163">
        <f t="shared" si="0"/>
        <v>2828.1842605634956</v>
      </c>
      <c r="K7" s="163">
        <f t="shared" si="0"/>
        <v>3345.9802060862744</v>
      </c>
      <c r="L7" s="163">
        <f t="shared" si="0"/>
        <v>3974.3870714138957</v>
      </c>
      <c r="M7" s="163">
        <f t="shared" si="0"/>
        <v>4274.7737057218219</v>
      </c>
    </row>
    <row r="8" spans="1:13" ht="20.25" hidden="1" customHeight="1">
      <c r="A8" s="125" t="s">
        <v>416</v>
      </c>
      <c r="B8" s="4"/>
      <c r="C8" s="117">
        <f>+'10 (NTI)'!C14</f>
        <v>0</v>
      </c>
      <c r="D8" s="117">
        <f>+'10 (NTI)'!D14</f>
        <v>46.83</v>
      </c>
      <c r="E8" s="117">
        <f>+'10 (NTI)'!E14</f>
        <v>79.52000000000001</v>
      </c>
      <c r="F8" s="117">
        <f>+'10 (NTI)'!F14</f>
        <v>113.04</v>
      </c>
      <c r="G8" s="117">
        <f>+'10 (NTI)'!G14</f>
        <v>119.28</v>
      </c>
      <c r="H8" s="163">
        <f>+'10 (NTI)'!H14</f>
        <v>287.77</v>
      </c>
      <c r="I8" s="163">
        <f>+'10 (NTI)'!I14</f>
        <v>426.34000000000003</v>
      </c>
      <c r="J8" s="163">
        <f>+'10 (NTI)'!J14</f>
        <v>340.40999999999997</v>
      </c>
      <c r="K8" s="163">
        <f>+'10 (NTI)'!K14</f>
        <v>489.66999999999996</v>
      </c>
      <c r="L8" s="163">
        <f>+'10 (NTI)'!L14</f>
        <v>383.01</v>
      </c>
      <c r="M8" s="163">
        <f>+'10 (NTI)'!M14</f>
        <v>467.80999999999995</v>
      </c>
    </row>
    <row r="9" spans="1:13" ht="20.25" customHeight="1">
      <c r="A9" s="45" t="s">
        <v>417</v>
      </c>
      <c r="B9" s="4"/>
      <c r="C9" s="119" t="e">
        <f t="shared" ref="C9:M9" si="1">+C7-C6</f>
        <v>#REF!</v>
      </c>
      <c r="D9" s="119">
        <f t="shared" si="1"/>
        <v>-642.86336571782169</v>
      </c>
      <c r="E9" s="119" t="e">
        <f t="shared" si="1"/>
        <v>#REF!</v>
      </c>
      <c r="F9" s="119" t="e">
        <f t="shared" si="1"/>
        <v>#REF!</v>
      </c>
      <c r="G9" s="119" t="e">
        <f t="shared" si="1"/>
        <v>#DIV/0!</v>
      </c>
      <c r="H9" s="277">
        <f t="shared" si="1"/>
        <v>0</v>
      </c>
      <c r="I9" s="277">
        <f t="shared" si="1"/>
        <v>0</v>
      </c>
      <c r="J9" s="277">
        <f t="shared" si="1"/>
        <v>0</v>
      </c>
      <c r="K9" s="277">
        <f t="shared" si="1"/>
        <v>0</v>
      </c>
      <c r="L9" s="277">
        <f t="shared" si="1"/>
        <v>0</v>
      </c>
      <c r="M9" s="277">
        <f t="shared" si="1"/>
        <v>0</v>
      </c>
    </row>
  </sheetData>
  <phoneticPr fontId="3" type="noConversion"/>
  <dataValidations count="2">
    <dataValidation type="decimal" allowBlank="1" showInputMessage="1" showErrorMessage="1" error="Enter in number format only" sqref="B5">
      <formula1>-1000000000000000</formula1>
      <formula2>100000000000000000</formula2>
    </dataValidation>
    <dataValidation type="decimal" operator="greaterThan" allowBlank="1" showInputMessage="1" showErrorMessage="1" sqref="C9:M9">
      <formula1>-100000000000000000</formula1>
    </dataValidation>
  </dataValidations>
  <printOptions horizontalCentered="1"/>
  <pageMargins left="0.4" right="0.2" top="1" bottom="1" header="0.5" footer="0.5"/>
  <pageSetup paperSize="9" orientation="landscape" verticalDpi="4294967295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>
  <dimension ref="A1:M31"/>
  <sheetViews>
    <sheetView view="pageBreakPreview" zoomScaleSheetLayoutView="100" workbookViewId="0">
      <selection activeCell="J9" sqref="J9"/>
    </sheetView>
  </sheetViews>
  <sheetFormatPr defaultRowHeight="12.75"/>
  <cols>
    <col min="1" max="1" width="44.5703125" customWidth="1"/>
    <col min="2" max="2" width="6.7109375" hidden="1" customWidth="1"/>
    <col min="3" max="7" width="7.5703125" hidden="1" customWidth="1"/>
    <col min="8" max="8" width="12" customWidth="1"/>
    <col min="9" max="12" width="10.42578125" customWidth="1"/>
    <col min="13" max="13" width="10.140625" customWidth="1"/>
  </cols>
  <sheetData>
    <row r="1" spans="1:13">
      <c r="A1" s="39" t="s">
        <v>123</v>
      </c>
    </row>
    <row r="2" spans="1:13">
      <c r="A2" s="40" t="s">
        <v>124</v>
      </c>
    </row>
    <row r="3" spans="1:13">
      <c r="A3" s="26"/>
    </row>
    <row r="4" spans="1:13">
      <c r="A4" s="1"/>
      <c r="J4" t="s">
        <v>365</v>
      </c>
    </row>
    <row r="5" spans="1:13" ht="26.25" customHeight="1">
      <c r="A5" s="102" t="s">
        <v>0</v>
      </c>
      <c r="B5" s="102" t="s">
        <v>12</v>
      </c>
      <c r="C5" s="103" t="s">
        <v>17</v>
      </c>
      <c r="D5" s="103" t="s">
        <v>18</v>
      </c>
      <c r="E5" s="103" t="s">
        <v>19</v>
      </c>
      <c r="F5" s="103" t="s">
        <v>20</v>
      </c>
      <c r="G5" s="103" t="s">
        <v>21</v>
      </c>
      <c r="H5" s="164" t="s">
        <v>432</v>
      </c>
      <c r="I5" s="103" t="s">
        <v>433</v>
      </c>
      <c r="J5" s="103" t="s">
        <v>434</v>
      </c>
      <c r="K5" s="103" t="s">
        <v>435</v>
      </c>
      <c r="L5" s="103" t="s">
        <v>436</v>
      </c>
      <c r="M5" s="103" t="s">
        <v>437</v>
      </c>
    </row>
    <row r="6" spans="1:13" s="62" customFormat="1" ht="16.5" customHeight="1">
      <c r="A6" s="165" t="s">
        <v>368</v>
      </c>
      <c r="B6" s="61"/>
      <c r="C6" s="17"/>
      <c r="D6" s="194">
        <v>0.1</v>
      </c>
      <c r="E6" s="17">
        <v>0.24</v>
      </c>
      <c r="F6" s="226">
        <v>1.1000000000000001</v>
      </c>
      <c r="G6" s="226">
        <v>2</v>
      </c>
      <c r="H6" s="226">
        <v>0.68</v>
      </c>
      <c r="I6" s="226">
        <v>1</v>
      </c>
      <c r="J6" s="226">
        <v>1</v>
      </c>
      <c r="K6" s="226">
        <v>1</v>
      </c>
      <c r="L6" s="226">
        <v>1</v>
      </c>
      <c r="M6" s="226">
        <v>1</v>
      </c>
    </row>
    <row r="7" spans="1:13" s="62" customFormat="1" ht="16.5" customHeight="1">
      <c r="A7" s="165" t="s">
        <v>369</v>
      </c>
      <c r="B7" s="61"/>
      <c r="C7" s="17"/>
      <c r="D7" s="194">
        <v>6.13</v>
      </c>
      <c r="E7" s="17">
        <v>13.45</v>
      </c>
      <c r="F7" s="226">
        <v>13.02</v>
      </c>
      <c r="G7" s="226">
        <f>4.66+9.87</f>
        <v>14.53</v>
      </c>
      <c r="H7" s="226">
        <v>10.36</v>
      </c>
      <c r="I7" s="226">
        <v>8.5</v>
      </c>
      <c r="J7" s="226">
        <f>+I7</f>
        <v>8.5</v>
      </c>
      <c r="K7" s="226">
        <f t="shared" ref="K7:M7" si="0">+J7</f>
        <v>8.5</v>
      </c>
      <c r="L7" s="226">
        <f t="shared" si="0"/>
        <v>8.5</v>
      </c>
      <c r="M7" s="226">
        <f t="shared" si="0"/>
        <v>8.5</v>
      </c>
    </row>
    <row r="8" spans="1:13" s="62" customFormat="1" ht="16.5" customHeight="1">
      <c r="A8" s="165" t="s">
        <v>370</v>
      </c>
      <c r="B8" s="61"/>
      <c r="C8" s="17"/>
      <c r="D8" s="194">
        <v>3.32</v>
      </c>
      <c r="E8" s="17">
        <v>3.53</v>
      </c>
      <c r="F8" s="226">
        <v>3.62</v>
      </c>
      <c r="G8" s="226">
        <v>3.76</v>
      </c>
      <c r="H8" s="226">
        <v>4.0599999999999996</v>
      </c>
      <c r="I8" s="226">
        <v>4</v>
      </c>
      <c r="J8" s="226">
        <v>4</v>
      </c>
      <c r="K8" s="226">
        <v>4</v>
      </c>
      <c r="L8" s="226">
        <v>4</v>
      </c>
      <c r="M8" s="226">
        <v>4</v>
      </c>
    </row>
    <row r="9" spans="1:13" s="62" customFormat="1" ht="16.5" customHeight="1">
      <c r="A9" s="189" t="s">
        <v>465</v>
      </c>
      <c r="B9" s="61"/>
      <c r="C9" s="17"/>
      <c r="D9" s="194">
        <v>0.01</v>
      </c>
      <c r="E9" s="17">
        <v>2.4900000000000002</v>
      </c>
      <c r="F9" s="226">
        <v>1.63</v>
      </c>
      <c r="G9" s="226">
        <v>6.79</v>
      </c>
      <c r="H9" s="226">
        <v>4.22</v>
      </c>
      <c r="I9" s="226">
        <v>4</v>
      </c>
      <c r="J9" s="226">
        <v>4</v>
      </c>
      <c r="K9" s="226">
        <v>4</v>
      </c>
      <c r="L9" s="226">
        <v>4</v>
      </c>
      <c r="M9" s="226">
        <v>4</v>
      </c>
    </row>
    <row r="10" spans="1:13" s="62" customFormat="1" ht="16.5" customHeight="1">
      <c r="A10" s="189" t="s">
        <v>459</v>
      </c>
      <c r="B10" s="61"/>
      <c r="C10" s="17"/>
      <c r="D10" s="194">
        <v>8.41</v>
      </c>
      <c r="E10" s="17">
        <v>22.54</v>
      </c>
      <c r="F10" s="226">
        <v>26.54</v>
      </c>
      <c r="G10" s="226">
        <v>10.65</v>
      </c>
      <c r="H10" s="226">
        <v>122.2</v>
      </c>
      <c r="I10" s="226">
        <v>160</v>
      </c>
      <c r="J10" s="226">
        <v>17</v>
      </c>
      <c r="K10" s="226">
        <v>111</v>
      </c>
      <c r="L10" s="226">
        <v>5</v>
      </c>
      <c r="M10" s="226">
        <v>5</v>
      </c>
    </row>
    <row r="11" spans="1:13" s="62" customFormat="1" ht="25.5">
      <c r="A11" s="177" t="s">
        <v>463</v>
      </c>
      <c r="B11" s="61"/>
      <c r="C11" s="17"/>
      <c r="D11" s="194">
        <v>13.17</v>
      </c>
      <c r="E11" s="17">
        <v>16.559999999999999</v>
      </c>
      <c r="F11" s="226">
        <v>17.59</v>
      </c>
      <c r="G11" s="226">
        <v>22.43</v>
      </c>
      <c r="H11" s="226">
        <v>72.62</v>
      </c>
      <c r="I11" s="226">
        <f>+'[1]LIS Assets'!E28</f>
        <v>153.35999999999999</v>
      </c>
      <c r="J11" s="226">
        <f>+'[1]LIS Assets'!F28</f>
        <v>208.43</v>
      </c>
      <c r="K11" s="226">
        <f>+'[1]LIS Assets'!G28</f>
        <v>248.68999999999997</v>
      </c>
      <c r="L11" s="226">
        <f>+'[1]LIS Assets'!H28</f>
        <v>283.02999999999997</v>
      </c>
      <c r="M11" s="226">
        <f>+'[1]LIS Assets'!I28</f>
        <v>342.83</v>
      </c>
    </row>
    <row r="12" spans="1:13" s="62" customFormat="1" ht="28.5" customHeight="1">
      <c r="A12" s="177" t="s">
        <v>464</v>
      </c>
      <c r="B12" s="61"/>
      <c r="C12" s="17"/>
      <c r="D12" s="194">
        <v>0</v>
      </c>
      <c r="E12" s="17">
        <v>0</v>
      </c>
      <c r="F12" s="226">
        <v>42.78</v>
      </c>
      <c r="G12" s="226">
        <v>51.93</v>
      </c>
      <c r="H12" s="226">
        <f>136.7-H11</f>
        <v>64.079999999999984</v>
      </c>
      <c r="I12" s="226">
        <f>+H12+(1.4)+20</f>
        <v>85.47999999999999</v>
      </c>
      <c r="J12" s="226">
        <f>+I12+2</f>
        <v>87.47999999999999</v>
      </c>
      <c r="K12" s="226">
        <f>+J12+15</f>
        <v>102.47999999999999</v>
      </c>
      <c r="L12" s="226">
        <f>+K12-35</f>
        <v>67.47999999999999</v>
      </c>
      <c r="M12" s="226">
        <f>+L12+25</f>
        <v>92.47999999999999</v>
      </c>
    </row>
    <row r="13" spans="1:13" s="62" customFormat="1" ht="16.5" customHeight="1">
      <c r="A13" s="189" t="s">
        <v>62</v>
      </c>
      <c r="B13" s="61"/>
      <c r="C13" s="17"/>
      <c r="D13" s="194">
        <f>5.92+9.77</f>
        <v>15.69</v>
      </c>
      <c r="E13" s="17">
        <f>1.35+0.12+2.39-1.3+18.15</f>
        <v>20.71</v>
      </c>
      <c r="F13" s="226">
        <v>6.76</v>
      </c>
      <c r="G13" s="226">
        <f>119.28-112.09</f>
        <v>7.1899999999999977</v>
      </c>
      <c r="H13" s="226">
        <f>288.74-278.22-0.86-0.11</f>
        <v>9.5499999999999829</v>
      </c>
      <c r="I13" s="226">
        <v>10</v>
      </c>
      <c r="J13" s="226">
        <v>10</v>
      </c>
      <c r="K13" s="226">
        <v>10</v>
      </c>
      <c r="L13" s="226">
        <v>10</v>
      </c>
      <c r="M13" s="226">
        <v>10</v>
      </c>
    </row>
    <row r="14" spans="1:13" s="62" customFormat="1" ht="21" customHeight="1">
      <c r="A14" s="102" t="s">
        <v>125</v>
      </c>
      <c r="B14" s="121"/>
      <c r="C14" s="121">
        <f t="shared" ref="C14" si="1">SUM(C6:C13)</f>
        <v>0</v>
      </c>
      <c r="D14" s="121">
        <f>SUM(D6:D13)</f>
        <v>46.83</v>
      </c>
      <c r="E14" s="121">
        <f t="shared" ref="E14:M14" si="2">SUM(E6:E13)</f>
        <v>79.52000000000001</v>
      </c>
      <c r="F14" s="121">
        <f t="shared" si="2"/>
        <v>113.04</v>
      </c>
      <c r="G14" s="121">
        <f t="shared" si="2"/>
        <v>119.28</v>
      </c>
      <c r="H14" s="121">
        <f t="shared" si="2"/>
        <v>287.77</v>
      </c>
      <c r="I14" s="121">
        <f t="shared" si="2"/>
        <v>426.34000000000003</v>
      </c>
      <c r="J14" s="121">
        <f t="shared" si="2"/>
        <v>340.40999999999997</v>
      </c>
      <c r="K14" s="121">
        <f t="shared" si="2"/>
        <v>489.66999999999996</v>
      </c>
      <c r="L14" s="121">
        <f t="shared" si="2"/>
        <v>383.01</v>
      </c>
      <c r="M14" s="121">
        <f t="shared" si="2"/>
        <v>467.80999999999995</v>
      </c>
    </row>
    <row r="16" spans="1:13" hidden="1">
      <c r="A16" s="166"/>
      <c r="D16">
        <v>47.98</v>
      </c>
      <c r="E16">
        <v>80.819999999999993</v>
      </c>
      <c r="F16">
        <v>115.26</v>
      </c>
      <c r="G16">
        <f>1475.39+38.46</f>
        <v>1513.8500000000001</v>
      </c>
      <c r="H16">
        <f>2063.58+27.7</f>
        <v>2091.2799999999997</v>
      </c>
      <c r="I16" s="16">
        <f>+I11+I12</f>
        <v>238.83999999999997</v>
      </c>
      <c r="J16" s="16">
        <f t="shared" ref="J16:M16" si="3">+J11+J12</f>
        <v>295.90999999999997</v>
      </c>
      <c r="K16" s="16">
        <f t="shared" si="3"/>
        <v>351.16999999999996</v>
      </c>
      <c r="L16" s="16">
        <f t="shared" si="3"/>
        <v>350.51</v>
      </c>
      <c r="M16" s="16">
        <f t="shared" si="3"/>
        <v>435.30999999999995</v>
      </c>
    </row>
    <row r="17" spans="1:13" hidden="1">
      <c r="A17" s="166"/>
      <c r="F17">
        <v>114.03</v>
      </c>
      <c r="G17">
        <f>1338.43+50.44</f>
        <v>1388.8700000000001</v>
      </c>
      <c r="H17" s="16">
        <f>1755+47.54</f>
        <v>1802.54</v>
      </c>
      <c r="I17" s="16"/>
      <c r="J17" s="16"/>
      <c r="K17" s="16"/>
      <c r="L17" s="16"/>
      <c r="M17" s="16"/>
    </row>
    <row r="18" spans="1:13" hidden="1">
      <c r="A18" s="195"/>
      <c r="F18">
        <f>+F16-F17</f>
        <v>1.230000000000004</v>
      </c>
      <c r="G18">
        <f>+G16-G17</f>
        <v>124.98000000000002</v>
      </c>
      <c r="H18" s="16">
        <f>+H16-H17</f>
        <v>288.73999999999978</v>
      </c>
    </row>
    <row r="19" spans="1:13" hidden="1">
      <c r="I19" s="16">
        <v>300</v>
      </c>
      <c r="J19" s="16">
        <v>30</v>
      </c>
      <c r="K19" s="16">
        <v>225</v>
      </c>
      <c r="L19" s="16"/>
      <c r="M19" s="16">
        <v>375</v>
      </c>
    </row>
    <row r="20" spans="1:13" hidden="1">
      <c r="G20">
        <v>0.97</v>
      </c>
      <c r="H20" s="16"/>
      <c r="I20" s="16"/>
      <c r="J20" s="16"/>
      <c r="K20" s="16"/>
      <c r="L20" s="16"/>
      <c r="M20" s="16"/>
    </row>
    <row r="21" spans="1:13" hidden="1">
      <c r="G21">
        <v>0.36</v>
      </c>
      <c r="I21" s="16">
        <f>+I19*0.75*0.11*1/2</f>
        <v>12.375</v>
      </c>
      <c r="J21" s="16">
        <f>+J19*0.75*0.11*1/2</f>
        <v>1.2375</v>
      </c>
      <c r="K21" s="16">
        <f t="shared" ref="K21:L21" si="4">+K19*0.75*0.11*1/2</f>
        <v>9.28125</v>
      </c>
      <c r="L21" s="16">
        <f t="shared" si="4"/>
        <v>0</v>
      </c>
      <c r="M21" s="16">
        <f t="shared" ref="M21" si="5">+M19*0.75*0.11*1/2</f>
        <v>15.46875</v>
      </c>
    </row>
    <row r="22" spans="1:13" hidden="1">
      <c r="G22">
        <v>0.18</v>
      </c>
      <c r="I22" s="16">
        <f>+I19*0.25*0.14*0.5</f>
        <v>5.2500000000000009</v>
      </c>
      <c r="J22" s="16">
        <f>+J19*0.25*0.14*0.5</f>
        <v>0.52500000000000002</v>
      </c>
      <c r="K22" s="16">
        <f t="shared" ref="K22:L22" si="6">+K19*0.25*0.14*0.5</f>
        <v>3.9375000000000004</v>
      </c>
      <c r="L22" s="16">
        <f t="shared" si="6"/>
        <v>0</v>
      </c>
      <c r="M22" s="16">
        <f t="shared" ref="M22" si="7">+M19*0.25*0.14*0.5</f>
        <v>6.5625000000000009</v>
      </c>
    </row>
    <row r="23" spans="1:13" hidden="1">
      <c r="G23">
        <v>1.27</v>
      </c>
      <c r="H23">
        <v>18.5</v>
      </c>
      <c r="I23" s="16">
        <f>+I22*21.3416/(100-21.3416)</f>
        <v>1.4244301943594075</v>
      </c>
      <c r="J23" s="16">
        <f>+J22*21.3416/(100-21.3416)</f>
        <v>0.14244301943594073</v>
      </c>
      <c r="K23" s="16">
        <f t="shared" ref="K23:L23" si="8">+K22*21.3416/(100-21.3416)</f>
        <v>1.0683226457695556</v>
      </c>
      <c r="L23" s="16">
        <f t="shared" si="8"/>
        <v>0</v>
      </c>
      <c r="M23" s="16">
        <f>+M22*21.5488/(100-21.5488)</f>
        <v>1.802572809593735</v>
      </c>
    </row>
    <row r="24" spans="1:13" hidden="1">
      <c r="H24">
        <f>+H23*1.12</f>
        <v>20.720000000000002</v>
      </c>
      <c r="I24" s="16">
        <f>+I21+I22+I23</f>
        <v>19.049430194359406</v>
      </c>
      <c r="J24" s="16">
        <f>+I24*2</f>
        <v>38.098860388718812</v>
      </c>
      <c r="K24" s="16">
        <f>+J24</f>
        <v>38.098860388718812</v>
      </c>
      <c r="L24" s="16">
        <f>+K24</f>
        <v>38.098860388718812</v>
      </c>
      <c r="M24" s="16">
        <f>+L24</f>
        <v>38.098860388718812</v>
      </c>
    </row>
    <row r="25" spans="1:13" hidden="1">
      <c r="H25">
        <f>+H24*1.04</f>
        <v>21.548800000000004</v>
      </c>
      <c r="J25" s="16">
        <f>+J21+J22+J23</f>
        <v>1.9049430194359409</v>
      </c>
      <c r="K25" s="16">
        <f>+J25*2</f>
        <v>3.8098860388718818</v>
      </c>
      <c r="L25" s="16">
        <f>+K25</f>
        <v>3.8098860388718818</v>
      </c>
      <c r="M25" s="16">
        <f>+L25</f>
        <v>3.8098860388718818</v>
      </c>
    </row>
    <row r="26" spans="1:13" hidden="1">
      <c r="G26">
        <v>0.42</v>
      </c>
      <c r="K26" s="16">
        <f>+K21+K22+K23</f>
        <v>14.287072645769555</v>
      </c>
      <c r="L26">
        <f>+K26*2</f>
        <v>28.574145291539111</v>
      </c>
      <c r="M26">
        <f>+L26</f>
        <v>28.574145291539111</v>
      </c>
    </row>
    <row r="27" spans="1:13" hidden="1">
      <c r="G27">
        <v>5.16</v>
      </c>
      <c r="L27">
        <v>0</v>
      </c>
      <c r="M27">
        <v>0</v>
      </c>
    </row>
    <row r="28" spans="1:13" hidden="1">
      <c r="G28" s="16">
        <f>SUM(G20:G27)</f>
        <v>8.36</v>
      </c>
      <c r="H28" s="16"/>
      <c r="I28" s="16"/>
      <c r="J28" s="16"/>
      <c r="K28" s="16"/>
      <c r="L28" s="16"/>
      <c r="M28" s="16">
        <f>+M21+M22+M23</f>
        <v>23.833822809593734</v>
      </c>
    </row>
    <row r="29" spans="1:13" hidden="1">
      <c r="G29" s="16">
        <f>+G28-1.16</f>
        <v>7.1999999999999993</v>
      </c>
      <c r="H29" s="16"/>
      <c r="I29" s="6">
        <f>+I24+I25+I26+I27+I28</f>
        <v>19.049430194359406</v>
      </c>
      <c r="J29" s="6">
        <f t="shared" ref="J29:M29" si="9">+J24+J25+J26+J27+J28</f>
        <v>40.003803408154752</v>
      </c>
      <c r="K29" s="6">
        <f t="shared" si="9"/>
        <v>56.195819073360248</v>
      </c>
      <c r="L29" s="6">
        <f t="shared" si="9"/>
        <v>70.48289171912981</v>
      </c>
      <c r="M29" s="6">
        <f t="shared" si="9"/>
        <v>94.316714528723537</v>
      </c>
    </row>
    <row r="30" spans="1:13" hidden="1">
      <c r="I30" s="16" t="e">
        <f>+'1.0'!#REF!</f>
        <v>#REF!</v>
      </c>
      <c r="J30" s="16" t="e">
        <f>+'1.0'!#REF!</f>
        <v>#REF!</v>
      </c>
      <c r="K30" s="16" t="e">
        <f>+'1.0'!#REF!</f>
        <v>#REF!</v>
      </c>
      <c r="L30" s="16" t="e">
        <f>+'1.0'!#REF!</f>
        <v>#REF!</v>
      </c>
      <c r="M30" s="16" t="e">
        <f>+'1.0'!#REF!</f>
        <v>#REF!</v>
      </c>
    </row>
    <row r="31" spans="1:13" hidden="1">
      <c r="I31" s="16" t="e">
        <f>+I30-I29</f>
        <v>#REF!</v>
      </c>
      <c r="J31" s="16" t="e">
        <f t="shared" ref="J31:M31" si="10">+J30-J29</f>
        <v>#REF!</v>
      </c>
      <c r="K31" s="16" t="e">
        <f t="shared" si="10"/>
        <v>#REF!</v>
      </c>
      <c r="L31" s="16" t="e">
        <f t="shared" si="10"/>
        <v>#REF!</v>
      </c>
      <c r="M31" s="16" t="e">
        <f t="shared" si="10"/>
        <v>#REF!</v>
      </c>
    </row>
  </sheetData>
  <phoneticPr fontId="3" type="noConversion"/>
  <dataValidations disablePrompts="1" count="1">
    <dataValidation type="decimal" allowBlank="1" showInputMessage="1" showErrorMessage="1" error="Enter in number format only" sqref="B5">
      <formula1>-1000000000000000</formula1>
      <formula2>100000000000000000</formula2>
    </dataValidation>
  </dataValidations>
  <printOptions horizontalCentered="1"/>
  <pageMargins left="0.27" right="0.34" top="1" bottom="1" header="0.5" footer="0.5"/>
  <pageSetup paperSize="9" orientation="landscape" verticalDpi="4294967295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>
  <sheetPr>
    <tabColor rgb="FF00B050"/>
  </sheetPr>
  <dimension ref="A1:M59"/>
  <sheetViews>
    <sheetView workbookViewId="0">
      <selection activeCell="G25" sqref="A1:XFD1048576"/>
    </sheetView>
  </sheetViews>
  <sheetFormatPr defaultRowHeight="12.75"/>
  <cols>
    <col min="1" max="1" width="53.42578125" customWidth="1"/>
    <col min="2" max="2" width="7.5703125" bestFit="1" customWidth="1"/>
    <col min="3" max="5" width="8" bestFit="1" customWidth="1"/>
    <col min="6" max="6" width="10.85546875" bestFit="1" customWidth="1"/>
    <col min="7" max="7" width="8.5703125" bestFit="1" customWidth="1"/>
    <col min="8" max="11" width="8" bestFit="1" customWidth="1"/>
  </cols>
  <sheetData>
    <row r="1" spans="1:11" ht="18">
      <c r="A1" s="308" t="s">
        <v>452</v>
      </c>
      <c r="B1" s="308"/>
      <c r="C1" s="308"/>
      <c r="D1" s="308"/>
      <c r="E1" s="308"/>
      <c r="F1" s="308"/>
      <c r="G1" s="308"/>
      <c r="H1" s="308"/>
      <c r="I1" s="308"/>
      <c r="J1" s="308"/>
      <c r="K1" s="308"/>
    </row>
    <row r="2" spans="1:11" ht="23.25" customHeight="1">
      <c r="A2" s="309" t="s">
        <v>365</v>
      </c>
      <c r="B2" s="309"/>
      <c r="C2" s="309"/>
      <c r="D2" s="309"/>
      <c r="E2" s="309"/>
      <c r="F2" s="309"/>
      <c r="G2" s="309"/>
      <c r="H2" s="309"/>
      <c r="I2" s="309"/>
      <c r="J2" s="309"/>
      <c r="K2" s="309"/>
    </row>
    <row r="3" spans="1:11" s="62" customFormat="1" ht="32.25" customHeight="1">
      <c r="A3" s="223" t="s">
        <v>385</v>
      </c>
      <c r="B3" s="223" t="s">
        <v>18</v>
      </c>
      <c r="C3" s="223" t="s">
        <v>19</v>
      </c>
      <c r="D3" s="223" t="s">
        <v>20</v>
      </c>
      <c r="E3" s="223" t="s">
        <v>21</v>
      </c>
      <c r="F3" s="224" t="s">
        <v>439</v>
      </c>
      <c r="G3" s="223" t="s">
        <v>433</v>
      </c>
      <c r="H3" s="223" t="s">
        <v>434</v>
      </c>
      <c r="I3" s="223" t="s">
        <v>435</v>
      </c>
      <c r="J3" s="223" t="s">
        <v>436</v>
      </c>
      <c r="K3" s="223" t="s">
        <v>437</v>
      </c>
    </row>
    <row r="4" spans="1:11" s="62" customFormat="1">
      <c r="A4" s="211" t="s">
        <v>470</v>
      </c>
      <c r="B4" s="142"/>
      <c r="C4" s="142"/>
      <c r="D4" s="142"/>
      <c r="E4" s="142"/>
      <c r="F4" s="143"/>
      <c r="G4" s="142"/>
      <c r="H4" s="142"/>
      <c r="I4" s="142"/>
      <c r="J4" s="142"/>
      <c r="K4" s="142"/>
    </row>
    <row r="5" spans="1:11" s="62" customFormat="1">
      <c r="A5" s="61" t="s">
        <v>401</v>
      </c>
      <c r="B5" s="212">
        <v>206.29</v>
      </c>
      <c r="C5" s="212">
        <v>253.81</v>
      </c>
      <c r="D5" s="212">
        <v>315.17</v>
      </c>
      <c r="E5" s="212">
        <v>405.8</v>
      </c>
      <c r="F5" s="213">
        <f>+'[1]O&amp;M'!H4</f>
        <v>538.09999999999991</v>
      </c>
      <c r="G5" s="142"/>
      <c r="H5" s="142"/>
      <c r="I5" s="142"/>
      <c r="J5" s="142"/>
      <c r="K5" s="142"/>
    </row>
    <row r="6" spans="1:11" s="62" customFormat="1">
      <c r="A6" s="61" t="s">
        <v>402</v>
      </c>
      <c r="B6" s="212">
        <v>22.67</v>
      </c>
      <c r="C6" s="212">
        <v>27.71</v>
      </c>
      <c r="D6" s="212">
        <v>35.65</v>
      </c>
      <c r="E6" s="212">
        <v>36.380000000000003</v>
      </c>
      <c r="F6" s="213">
        <f>+'[1]O&amp;M'!H5</f>
        <v>55.120000000000005</v>
      </c>
      <c r="G6" s="142"/>
      <c r="H6" s="142"/>
      <c r="I6" s="142"/>
      <c r="J6" s="142"/>
      <c r="K6" s="142"/>
    </row>
    <row r="7" spans="1:11" s="62" customFormat="1">
      <c r="A7" s="61" t="s">
        <v>403</v>
      </c>
      <c r="B7" s="212">
        <v>69.06</v>
      </c>
      <c r="C7" s="212">
        <v>110.94</v>
      </c>
      <c r="D7" s="212">
        <v>141.01</v>
      </c>
      <c r="E7" s="212">
        <v>60.48</v>
      </c>
      <c r="F7" s="213">
        <f>+'[1]O&amp;M'!H6</f>
        <v>150.94</v>
      </c>
      <c r="G7" s="142"/>
      <c r="H7" s="142"/>
      <c r="I7" s="142"/>
      <c r="J7" s="142"/>
      <c r="K7" s="142"/>
    </row>
    <row r="8" spans="1:11" s="62" customFormat="1">
      <c r="A8" s="145" t="s">
        <v>473</v>
      </c>
      <c r="B8" s="214">
        <f>+B5+B6+B7</f>
        <v>298.02</v>
      </c>
      <c r="C8" s="214">
        <f t="shared" ref="C8:F8" si="0">+C5+C6+C7</f>
        <v>392.46</v>
      </c>
      <c r="D8" s="214">
        <f t="shared" si="0"/>
        <v>491.83</v>
      </c>
      <c r="E8" s="214">
        <f t="shared" si="0"/>
        <v>502.66</v>
      </c>
      <c r="F8" s="214">
        <f t="shared" si="0"/>
        <v>744.15999999999985</v>
      </c>
      <c r="G8" s="142"/>
      <c r="H8" s="142"/>
      <c r="I8" s="142"/>
      <c r="J8" s="142"/>
      <c r="K8" s="142"/>
    </row>
    <row r="9" spans="1:11" s="62" customFormat="1">
      <c r="A9" s="211" t="s">
        <v>471</v>
      </c>
      <c r="B9" s="214"/>
      <c r="C9" s="214"/>
      <c r="D9" s="214"/>
      <c r="E9" s="214"/>
      <c r="F9" s="214"/>
      <c r="G9" s="142"/>
      <c r="H9" s="142"/>
      <c r="I9" s="142"/>
      <c r="J9" s="142"/>
      <c r="K9" s="142"/>
    </row>
    <row r="10" spans="1:11" s="62" customFormat="1">
      <c r="A10" s="61" t="s">
        <v>401</v>
      </c>
      <c r="B10" s="212">
        <v>59.11</v>
      </c>
      <c r="C10" s="212">
        <v>69.38</v>
      </c>
      <c r="D10" s="212">
        <f>106.64</f>
        <v>106.64</v>
      </c>
      <c r="E10" s="212">
        <v>63.73</v>
      </c>
      <c r="F10" s="213">
        <v>104.05</v>
      </c>
      <c r="G10" s="142"/>
      <c r="H10" s="142"/>
      <c r="I10" s="142"/>
      <c r="J10" s="142"/>
      <c r="K10" s="142"/>
    </row>
    <row r="11" spans="1:11" s="62" customFormat="1">
      <c r="A11" s="61" t="s">
        <v>402</v>
      </c>
      <c r="B11" s="212">
        <v>6.01</v>
      </c>
      <c r="C11" s="212">
        <v>6.9</v>
      </c>
      <c r="D11" s="212">
        <v>8.0500000000000007</v>
      </c>
      <c r="E11" s="212">
        <v>6.55</v>
      </c>
      <c r="F11" s="213">
        <v>5.24</v>
      </c>
      <c r="G11" s="142"/>
      <c r="H11" s="142"/>
      <c r="I11" s="142"/>
      <c r="J11" s="142"/>
      <c r="K11" s="142"/>
    </row>
    <row r="12" spans="1:11" s="62" customFormat="1">
      <c r="A12" s="61" t="s">
        <v>403</v>
      </c>
      <c r="B12" s="212">
        <v>0.06</v>
      </c>
      <c r="C12" s="212">
        <v>0.11</v>
      </c>
      <c r="D12" s="212">
        <v>0.92</v>
      </c>
      <c r="E12" s="212">
        <v>0.56000000000000005</v>
      </c>
      <c r="F12" s="213">
        <v>0.61</v>
      </c>
      <c r="G12" s="142"/>
      <c r="H12" s="142"/>
      <c r="I12" s="142"/>
      <c r="J12" s="142"/>
      <c r="K12" s="142"/>
    </row>
    <row r="13" spans="1:11" s="62" customFormat="1">
      <c r="A13" s="145" t="s">
        <v>473</v>
      </c>
      <c r="B13" s="214">
        <f>+B10+B11+B12</f>
        <v>65.180000000000007</v>
      </c>
      <c r="C13" s="214">
        <f t="shared" ref="C13:F13" si="1">+C10+C11+C12</f>
        <v>76.39</v>
      </c>
      <c r="D13" s="214">
        <f t="shared" si="1"/>
        <v>115.61</v>
      </c>
      <c r="E13" s="214">
        <f t="shared" si="1"/>
        <v>70.84</v>
      </c>
      <c r="F13" s="214">
        <f t="shared" si="1"/>
        <v>109.89999999999999</v>
      </c>
      <c r="G13" s="142"/>
      <c r="H13" s="142"/>
      <c r="I13" s="142"/>
      <c r="J13" s="142"/>
      <c r="K13" s="142"/>
    </row>
    <row r="14" spans="1:11" s="62" customFormat="1">
      <c r="A14" s="211" t="s">
        <v>472</v>
      </c>
      <c r="B14" s="214"/>
      <c r="C14" s="214"/>
      <c r="D14" s="214"/>
      <c r="E14" s="214"/>
      <c r="F14" s="214"/>
      <c r="G14" s="142"/>
      <c r="H14" s="142"/>
      <c r="I14" s="142"/>
      <c r="J14" s="142"/>
      <c r="K14" s="142"/>
    </row>
    <row r="15" spans="1:11" s="62" customFormat="1">
      <c r="A15" s="61" t="s">
        <v>401</v>
      </c>
      <c r="B15" s="127">
        <f>+B5-B10</f>
        <v>147.18</v>
      </c>
      <c r="C15" s="127">
        <f>+C5-C10</f>
        <v>184.43</v>
      </c>
      <c r="D15" s="127">
        <f>+D5-D10</f>
        <v>208.53000000000003</v>
      </c>
      <c r="E15" s="127">
        <f>+E5-E10</f>
        <v>342.07</v>
      </c>
      <c r="F15" s="127">
        <f>+F5-F10</f>
        <v>434.0499999999999</v>
      </c>
      <c r="G15" s="61"/>
      <c r="H15" s="61"/>
      <c r="I15" s="61"/>
      <c r="J15" s="61"/>
      <c r="K15" s="61"/>
    </row>
    <row r="16" spans="1:11" s="62" customFormat="1">
      <c r="A16" s="61" t="s">
        <v>402</v>
      </c>
      <c r="B16" s="127">
        <f t="shared" ref="B16:C17" si="2">+B6-B11</f>
        <v>16.660000000000004</v>
      </c>
      <c r="C16" s="127">
        <f t="shared" si="2"/>
        <v>20.810000000000002</v>
      </c>
      <c r="D16" s="127">
        <f t="shared" ref="D16:E16" si="3">+D6-D11</f>
        <v>27.599999999999998</v>
      </c>
      <c r="E16" s="127">
        <f t="shared" si="3"/>
        <v>29.830000000000002</v>
      </c>
      <c r="F16" s="127">
        <f t="shared" ref="F16" si="4">+F6-F11</f>
        <v>49.88</v>
      </c>
      <c r="G16" s="61"/>
      <c r="H16" s="61"/>
      <c r="I16" s="61"/>
      <c r="J16" s="61"/>
      <c r="K16" s="61"/>
    </row>
    <row r="17" spans="1:13" s="62" customFormat="1">
      <c r="A17" s="61" t="s">
        <v>403</v>
      </c>
      <c r="B17" s="127">
        <f t="shared" si="2"/>
        <v>69</v>
      </c>
      <c r="C17" s="127">
        <f t="shared" si="2"/>
        <v>110.83</v>
      </c>
      <c r="D17" s="127">
        <f t="shared" ref="D17:E17" si="5">+D7-D12</f>
        <v>140.09</v>
      </c>
      <c r="E17" s="127">
        <f t="shared" si="5"/>
        <v>59.919999999999995</v>
      </c>
      <c r="F17" s="127">
        <f t="shared" ref="F17" si="6">+F7-F12</f>
        <v>150.32999999999998</v>
      </c>
      <c r="G17" s="61"/>
      <c r="H17" s="61"/>
      <c r="I17" s="61"/>
      <c r="J17" s="61"/>
      <c r="K17" s="61"/>
    </row>
    <row r="18" spans="1:13" s="62" customFormat="1">
      <c r="A18" s="145" t="s">
        <v>473</v>
      </c>
      <c r="B18" s="214">
        <f>+B15+B16+B17</f>
        <v>232.84</v>
      </c>
      <c r="C18" s="214">
        <f t="shared" ref="C18:F18" si="7">+C15+C16+C17</f>
        <v>316.07</v>
      </c>
      <c r="D18" s="214">
        <f t="shared" si="7"/>
        <v>376.22</v>
      </c>
      <c r="E18" s="214">
        <f t="shared" si="7"/>
        <v>431.82</v>
      </c>
      <c r="F18" s="214">
        <f t="shared" si="7"/>
        <v>634.25999999999988</v>
      </c>
      <c r="G18" s="61"/>
      <c r="H18" s="61"/>
      <c r="I18" s="61"/>
      <c r="J18" s="61"/>
      <c r="K18" s="61"/>
    </row>
    <row r="19" spans="1:13" s="62" customFormat="1">
      <c r="A19" s="61" t="s">
        <v>404</v>
      </c>
      <c r="B19" s="146">
        <v>0.3</v>
      </c>
      <c r="C19" s="146">
        <f t="shared" ref="C19:E20" si="8">B19</f>
        <v>0.3</v>
      </c>
      <c r="D19" s="146">
        <f t="shared" si="8"/>
        <v>0.3</v>
      </c>
      <c r="E19" s="146">
        <f t="shared" si="8"/>
        <v>0.3</v>
      </c>
      <c r="F19" s="146">
        <f>+E19</f>
        <v>0.3</v>
      </c>
      <c r="G19" s="146"/>
      <c r="H19" s="61"/>
      <c r="I19" s="61"/>
      <c r="J19" s="61"/>
      <c r="K19" s="61"/>
    </row>
    <row r="20" spans="1:13" s="62" customFormat="1">
      <c r="A20" s="61" t="s">
        <v>405</v>
      </c>
      <c r="B20" s="146">
        <f>1-B19</f>
        <v>0.7</v>
      </c>
      <c r="C20" s="146">
        <f t="shared" si="8"/>
        <v>0.7</v>
      </c>
      <c r="D20" s="146">
        <f t="shared" si="8"/>
        <v>0.7</v>
      </c>
      <c r="E20" s="146">
        <f t="shared" si="8"/>
        <v>0.7</v>
      </c>
      <c r="F20" s="146">
        <f>+E20</f>
        <v>0.7</v>
      </c>
      <c r="G20" s="146"/>
      <c r="H20" s="61"/>
      <c r="I20" s="61"/>
      <c r="J20" s="61"/>
      <c r="K20" s="61"/>
    </row>
    <row r="21" spans="1:13" s="62" customFormat="1">
      <c r="A21" s="61" t="s">
        <v>406</v>
      </c>
      <c r="B21" s="17">
        <f>+B18*B19</f>
        <v>69.852000000000004</v>
      </c>
      <c r="C21" s="17">
        <f>+C18*C19</f>
        <v>94.820999999999998</v>
      </c>
      <c r="D21" s="17">
        <f>+D18*D19</f>
        <v>112.866</v>
      </c>
      <c r="E21" s="17">
        <f>+E18*E19</f>
        <v>129.54599999999999</v>
      </c>
      <c r="F21" s="17">
        <f>+F18*F19</f>
        <v>190.27799999999996</v>
      </c>
      <c r="G21" s="61"/>
      <c r="H21" s="61"/>
      <c r="I21" s="61"/>
      <c r="J21" s="61"/>
      <c r="K21" s="61"/>
    </row>
    <row r="22" spans="1:13" s="62" customFormat="1">
      <c r="A22" s="61" t="s">
        <v>407</v>
      </c>
      <c r="B22" s="17">
        <f>+B18*B20</f>
        <v>162.988</v>
      </c>
      <c r="C22" s="17">
        <f>+C18*C20</f>
        <v>221.249</v>
      </c>
      <c r="D22" s="17">
        <f>+D18*D20</f>
        <v>263.35399999999998</v>
      </c>
      <c r="E22" s="17">
        <f>+E18*E20</f>
        <v>302.274</v>
      </c>
      <c r="F22" s="17">
        <f>+F18*F20</f>
        <v>443.98199999999991</v>
      </c>
      <c r="G22" s="61"/>
      <c r="H22" s="61"/>
      <c r="I22" s="61"/>
      <c r="J22" s="61"/>
      <c r="K22" s="61"/>
    </row>
    <row r="23" spans="1:13" s="62" customFormat="1">
      <c r="A23" s="61" t="s">
        <v>390</v>
      </c>
      <c r="B23" s="61">
        <v>16186</v>
      </c>
      <c r="C23" s="61">
        <v>17163</v>
      </c>
      <c r="D23" s="61">
        <v>18075</v>
      </c>
      <c r="E23" s="147">
        <v>19549</v>
      </c>
      <c r="F23" s="147">
        <v>21582</v>
      </c>
      <c r="G23" s="61"/>
      <c r="H23" s="61"/>
      <c r="I23" s="61"/>
      <c r="J23" s="61"/>
      <c r="K23" s="61"/>
    </row>
    <row r="24" spans="1:13" s="62" customFormat="1">
      <c r="A24" s="61" t="s">
        <v>408</v>
      </c>
      <c r="B24" s="61">
        <v>1693</v>
      </c>
      <c r="C24" s="61">
        <v>1870</v>
      </c>
      <c r="D24" s="61">
        <v>2095</v>
      </c>
      <c r="E24" s="61">
        <v>2370</v>
      </c>
      <c r="F24" s="147">
        <v>2667</v>
      </c>
      <c r="G24" s="61"/>
      <c r="H24" s="61"/>
      <c r="I24" s="61"/>
      <c r="J24" s="61"/>
      <c r="K24" s="61"/>
    </row>
    <row r="25" spans="1:13" s="62" customFormat="1">
      <c r="A25" s="61" t="s">
        <v>391</v>
      </c>
      <c r="B25" s="147">
        <f t="shared" ref="B25:F26" si="9">+(B21/B23)*10000000</f>
        <v>43155.813666131224</v>
      </c>
      <c r="C25" s="147">
        <f t="shared" si="9"/>
        <v>55247.334382101035</v>
      </c>
      <c r="D25" s="147">
        <f t="shared" si="9"/>
        <v>62443.153526970957</v>
      </c>
      <c r="E25" s="147">
        <f t="shared" si="9"/>
        <v>66267.328252084495</v>
      </c>
      <c r="F25" s="147">
        <f t="shared" si="9"/>
        <v>88165.137614678883</v>
      </c>
      <c r="G25" s="61"/>
      <c r="H25" s="61"/>
      <c r="I25" s="61"/>
      <c r="J25" s="61"/>
      <c r="K25" s="61"/>
    </row>
    <row r="26" spans="1:13" s="62" customFormat="1">
      <c r="A26" s="61" t="s">
        <v>392</v>
      </c>
      <c r="B26" s="147">
        <f t="shared" si="9"/>
        <v>962717.07028942707</v>
      </c>
      <c r="C26" s="147">
        <f t="shared" si="9"/>
        <v>1183149.7326203207</v>
      </c>
      <c r="D26" s="147">
        <f t="shared" si="9"/>
        <v>1257059.6658711217</v>
      </c>
      <c r="E26" s="147">
        <f t="shared" si="9"/>
        <v>1275417.7215189873</v>
      </c>
      <c r="F26" s="147">
        <f t="shared" si="9"/>
        <v>1664724.4094488188</v>
      </c>
      <c r="G26" s="61"/>
      <c r="H26" s="61"/>
      <c r="I26" s="61"/>
      <c r="J26" s="61"/>
      <c r="K26" s="61"/>
    </row>
    <row r="27" spans="1:13" s="62" customFormat="1">
      <c r="A27" s="148" t="s">
        <v>393</v>
      </c>
      <c r="B27" s="148"/>
      <c r="C27" s="148"/>
      <c r="D27" s="148"/>
      <c r="E27" s="148"/>
      <c r="F27" s="17"/>
      <c r="G27" s="61"/>
      <c r="H27" s="61"/>
      <c r="I27" s="61"/>
      <c r="J27" s="61"/>
      <c r="K27" s="61"/>
    </row>
    <row r="28" spans="1:13" s="62" customFormat="1">
      <c r="A28" s="149" t="s">
        <v>409</v>
      </c>
      <c r="B28" s="149"/>
      <c r="C28" s="149"/>
      <c r="D28" s="149"/>
      <c r="E28" s="146"/>
      <c r="F28" s="146"/>
      <c r="G28" s="61"/>
      <c r="H28" s="61"/>
      <c r="I28" s="61"/>
      <c r="J28" s="61"/>
      <c r="K28" s="61"/>
    </row>
    <row r="29" spans="1:13" s="62" customFormat="1">
      <c r="A29" s="149" t="s">
        <v>395</v>
      </c>
      <c r="B29" s="149"/>
      <c r="C29" s="149"/>
      <c r="D29" s="149"/>
      <c r="E29" s="146"/>
      <c r="F29" s="146"/>
      <c r="G29" s="61"/>
      <c r="H29" s="61"/>
      <c r="I29" s="61"/>
      <c r="J29" s="61"/>
      <c r="K29" s="61"/>
    </row>
    <row r="30" spans="1:13" s="62" customFormat="1">
      <c r="A30" s="61" t="s">
        <v>394</v>
      </c>
      <c r="B30" s="61"/>
      <c r="C30" s="61"/>
      <c r="D30" s="61"/>
      <c r="E30" s="132"/>
      <c r="F30" s="150"/>
      <c r="G30" s="61"/>
      <c r="H30" s="61"/>
      <c r="I30" s="61"/>
      <c r="J30" s="61"/>
      <c r="K30" s="61"/>
    </row>
    <row r="31" spans="1:13" s="62" customFormat="1">
      <c r="A31" s="61" t="s">
        <v>396</v>
      </c>
      <c r="B31" s="61"/>
      <c r="C31" s="61"/>
      <c r="D31" s="61"/>
      <c r="E31" s="132"/>
      <c r="F31" s="150"/>
      <c r="G31" s="61"/>
      <c r="H31" s="61"/>
      <c r="I31" s="61"/>
      <c r="J31" s="61"/>
      <c r="K31" s="61"/>
      <c r="M31" s="62">
        <f>791.53+120.88</f>
        <v>912.41</v>
      </c>
    </row>
    <row r="32" spans="1:13" s="62" customFormat="1">
      <c r="A32" s="61" t="s">
        <v>397</v>
      </c>
      <c r="B32" s="61"/>
      <c r="C32" s="61"/>
      <c r="D32" s="61"/>
      <c r="E32" s="132"/>
      <c r="F32" s="132">
        <v>7.6799999999999993E-2</v>
      </c>
      <c r="G32" s="132">
        <f t="shared" ref="G32:K32" si="10">+F32</f>
        <v>7.6799999999999993E-2</v>
      </c>
      <c r="H32" s="132">
        <f t="shared" si="10"/>
        <v>7.6799999999999993E-2</v>
      </c>
      <c r="I32" s="132">
        <f t="shared" si="10"/>
        <v>7.6799999999999993E-2</v>
      </c>
      <c r="J32" s="132">
        <f t="shared" si="10"/>
        <v>7.6799999999999993E-2</v>
      </c>
      <c r="K32" s="132">
        <f t="shared" si="10"/>
        <v>7.6799999999999993E-2</v>
      </c>
    </row>
    <row r="33" spans="1:12" s="62" customFormat="1">
      <c r="A33" s="61" t="s">
        <v>398</v>
      </c>
      <c r="B33" s="61"/>
      <c r="C33" s="61"/>
      <c r="D33" s="61"/>
      <c r="E33" s="61"/>
      <c r="F33" s="147"/>
      <c r="G33" s="147">
        <f>+F25*(1+F$32)</f>
        <v>94936.220183486221</v>
      </c>
      <c r="H33" s="147">
        <f>+G33*(1+H32)</f>
        <v>102227.32189357796</v>
      </c>
      <c r="I33" s="147">
        <f>+H33*(1+I32)</f>
        <v>110078.38021500474</v>
      </c>
      <c r="J33" s="147">
        <f>+I33*(1+J32)</f>
        <v>118532.3998155171</v>
      </c>
      <c r="K33" s="147">
        <f>+J33*(1+K32)</f>
        <v>127635.68812134881</v>
      </c>
    </row>
    <row r="34" spans="1:12" s="62" customFormat="1">
      <c r="A34" s="61" t="s">
        <v>399</v>
      </c>
      <c r="B34" s="61"/>
      <c r="C34" s="61"/>
      <c r="D34" s="61"/>
      <c r="E34" s="61"/>
      <c r="F34" s="147"/>
      <c r="G34" s="147">
        <f>+F26*(1+G32)</f>
        <v>1792575.244094488</v>
      </c>
      <c r="H34" s="147">
        <f>+G34*(1+H32)</f>
        <v>1930245.0228409446</v>
      </c>
      <c r="I34" s="147">
        <f>+H34*(1+I32)</f>
        <v>2078487.8405951292</v>
      </c>
      <c r="J34" s="147">
        <f>+I34*(1+J32)</f>
        <v>2238115.7067528348</v>
      </c>
      <c r="K34" s="147">
        <f>+J34*(1+K32)</f>
        <v>2410002.9930314524</v>
      </c>
    </row>
    <row r="35" spans="1:12" s="62" customFormat="1">
      <c r="A35" s="151" t="s">
        <v>390</v>
      </c>
      <c r="B35" s="151"/>
      <c r="C35" s="151"/>
      <c r="D35" s="151"/>
      <c r="E35" s="151"/>
      <c r="F35" s="61"/>
      <c r="G35" s="153">
        <v>24747</v>
      </c>
      <c r="H35" s="153">
        <v>26603</v>
      </c>
      <c r="I35" s="153">
        <v>27498</v>
      </c>
      <c r="J35" s="153">
        <v>28096</v>
      </c>
      <c r="K35" s="153">
        <v>28497</v>
      </c>
    </row>
    <row r="36" spans="1:12" s="62" customFormat="1">
      <c r="A36" s="151" t="s">
        <v>408</v>
      </c>
      <c r="B36" s="151"/>
      <c r="C36" s="151"/>
      <c r="D36" s="151"/>
      <c r="E36" s="151"/>
      <c r="F36" s="61"/>
      <c r="G36" s="149">
        <v>3105</v>
      </c>
      <c r="H36" s="149">
        <v>3449</v>
      </c>
      <c r="I36" s="149">
        <v>3586</v>
      </c>
      <c r="J36" s="149">
        <v>3613</v>
      </c>
      <c r="K36" s="149">
        <v>3657</v>
      </c>
    </row>
    <row r="37" spans="1:12" s="62" customFormat="1" ht="24.75" customHeight="1" thickBot="1">
      <c r="A37" s="141" t="s">
        <v>400</v>
      </c>
      <c r="B37" s="141"/>
      <c r="C37" s="141"/>
      <c r="D37" s="141"/>
      <c r="E37" s="141"/>
      <c r="F37" s="144"/>
      <c r="G37" s="144">
        <f t="shared" ref="G37:K37" si="11">+((G33*G35)+(G34*G36))/10000000</f>
        <v>791.53327737941186</v>
      </c>
      <c r="H37" s="144">
        <f t="shared" si="11"/>
        <v>937.69685281132718</v>
      </c>
      <c r="I37" s="144">
        <f t="shared" si="11"/>
        <v>1048.0392695526332</v>
      </c>
      <c r="J37" s="144">
        <f t="shared" si="11"/>
        <v>1141.659835371476</v>
      </c>
      <c r="K37" s="144">
        <f t="shared" si="11"/>
        <v>1245.06151499101</v>
      </c>
    </row>
    <row r="38" spans="1:12" s="62" customFormat="1" ht="24.75" customHeight="1" thickTop="1">
      <c r="A38" s="172" t="s">
        <v>451</v>
      </c>
      <c r="B38" s="176"/>
      <c r="C38" s="176">
        <f>+(+C18/B18)-1</f>
        <v>0.35745576361449927</v>
      </c>
      <c r="D38" s="176">
        <f>+(+D18/C18)-1</f>
        <v>0.1903059448856268</v>
      </c>
      <c r="E38" s="176">
        <f>+(+E18/D18)-1</f>
        <v>0.14778586996969856</v>
      </c>
      <c r="F38" s="176">
        <f>+(+F18/E18)-1</f>
        <v>0.4688064471307487</v>
      </c>
      <c r="G38" s="176">
        <f>+((G37/F18*100)-100)/100</f>
        <v>0.24796341780880396</v>
      </c>
      <c r="H38" s="176">
        <f>+((H37/G37*100)-100)/100</f>
        <v>0.18465878770862304</v>
      </c>
      <c r="I38" s="176">
        <f>+((I37/H37*100)-100)/100</f>
        <v>0.11767386912997126</v>
      </c>
      <c r="J38" s="176">
        <f>+((J37/I37*100)-100)/100</f>
        <v>8.9329253720431587E-2</v>
      </c>
      <c r="K38" s="176">
        <f>+((K37/J37*100)-100)/100</f>
        <v>9.0571356209521808E-2</v>
      </c>
    </row>
    <row r="39" spans="1:12">
      <c r="A39" s="72" t="s">
        <v>447</v>
      </c>
    </row>
    <row r="40" spans="1:12" ht="25.5">
      <c r="A40" s="175" t="s">
        <v>0</v>
      </c>
      <c r="B40" s="142" t="s">
        <v>18</v>
      </c>
      <c r="C40" s="142" t="s">
        <v>19</v>
      </c>
      <c r="D40" s="142" t="s">
        <v>20</v>
      </c>
      <c r="E40" s="142" t="s">
        <v>21</v>
      </c>
      <c r="F40" s="143" t="s">
        <v>439</v>
      </c>
      <c r="G40" s="142" t="s">
        <v>433</v>
      </c>
      <c r="H40" s="142" t="s">
        <v>434</v>
      </c>
      <c r="I40" s="142" t="s">
        <v>435</v>
      </c>
      <c r="J40" s="142" t="s">
        <v>436</v>
      </c>
      <c r="K40" s="142" t="s">
        <v>437</v>
      </c>
    </row>
    <row r="41" spans="1:12" s="62" customFormat="1" ht="22.5" customHeight="1">
      <c r="A41" s="173" t="s">
        <v>448</v>
      </c>
      <c r="B41" s="61">
        <f>+B23</f>
        <v>16186</v>
      </c>
      <c r="C41" s="61">
        <f t="shared" ref="C41:F41" si="12">+C23</f>
        <v>17163</v>
      </c>
      <c r="D41" s="61">
        <f t="shared" si="12"/>
        <v>18075</v>
      </c>
      <c r="E41" s="61">
        <f t="shared" si="12"/>
        <v>19549</v>
      </c>
      <c r="F41" s="61">
        <f t="shared" si="12"/>
        <v>21582</v>
      </c>
      <c r="G41" s="147">
        <f>+G35</f>
        <v>24747</v>
      </c>
      <c r="H41" s="147">
        <f t="shared" ref="H41:K41" si="13">+H35</f>
        <v>26603</v>
      </c>
      <c r="I41" s="147">
        <f t="shared" si="13"/>
        <v>27498</v>
      </c>
      <c r="J41" s="147">
        <f t="shared" si="13"/>
        <v>28096</v>
      </c>
      <c r="K41" s="147">
        <f t="shared" si="13"/>
        <v>28497</v>
      </c>
    </row>
    <row r="42" spans="1:12" s="62" customFormat="1" ht="22.5" customHeight="1">
      <c r="A42" s="130" t="s">
        <v>450</v>
      </c>
      <c r="B42" s="130">
        <v>169</v>
      </c>
      <c r="C42" s="174">
        <f>+C23-B23</f>
        <v>977</v>
      </c>
      <c r="D42" s="174">
        <f>+D23-C23</f>
        <v>912</v>
      </c>
      <c r="E42" s="174">
        <f>+E23-D23</f>
        <v>1474</v>
      </c>
      <c r="F42" s="174">
        <f>+F23-E23</f>
        <v>2033</v>
      </c>
      <c r="G42" s="174">
        <f>+G35-F23</f>
        <v>3165</v>
      </c>
      <c r="H42" s="174">
        <f>+H35-G35</f>
        <v>1856</v>
      </c>
      <c r="I42" s="174">
        <f>+I35-H35</f>
        <v>895</v>
      </c>
      <c r="J42" s="174">
        <f>+J35-I35</f>
        <v>598</v>
      </c>
      <c r="K42" s="174">
        <f>+K35-J35</f>
        <v>401</v>
      </c>
    </row>
    <row r="43" spans="1:12" s="62" customFormat="1" ht="22.5" customHeight="1">
      <c r="A43" s="173" t="s">
        <v>449</v>
      </c>
      <c r="B43" s="61">
        <f>+B24</f>
        <v>1693</v>
      </c>
      <c r="C43" s="61">
        <f>+C24</f>
        <v>1870</v>
      </c>
      <c r="D43" s="61">
        <f>+D24</f>
        <v>2095</v>
      </c>
      <c r="E43" s="61">
        <f>+E24</f>
        <v>2370</v>
      </c>
      <c r="F43" s="61">
        <f>+F24</f>
        <v>2667</v>
      </c>
      <c r="G43" s="61">
        <f>+G36</f>
        <v>3105</v>
      </c>
      <c r="H43" s="61">
        <f t="shared" ref="H43:K43" si="14">+H36</f>
        <v>3449</v>
      </c>
      <c r="I43" s="61">
        <f t="shared" si="14"/>
        <v>3586</v>
      </c>
      <c r="J43" s="61">
        <f t="shared" si="14"/>
        <v>3613</v>
      </c>
      <c r="K43" s="61">
        <f t="shared" si="14"/>
        <v>3657</v>
      </c>
    </row>
    <row r="44" spans="1:12" s="62" customFormat="1" ht="22.5" customHeight="1">
      <c r="A44" s="130" t="s">
        <v>450</v>
      </c>
      <c r="B44" s="130">
        <v>79</v>
      </c>
      <c r="C44" s="130">
        <f>+C24-B24</f>
        <v>177</v>
      </c>
      <c r="D44" s="130">
        <f>+D24-C24</f>
        <v>225</v>
      </c>
      <c r="E44" s="130">
        <f>+E24-D24</f>
        <v>275</v>
      </c>
      <c r="F44" s="130">
        <f>+F24-E24</f>
        <v>297</v>
      </c>
      <c r="G44" s="174">
        <f>+G36-F24</f>
        <v>438</v>
      </c>
      <c r="H44" s="174">
        <f>+H36-G36</f>
        <v>344</v>
      </c>
      <c r="I44" s="174">
        <f t="shared" ref="I44:K44" si="15">+I36-H36</f>
        <v>137</v>
      </c>
      <c r="J44" s="174">
        <f t="shared" si="15"/>
        <v>27</v>
      </c>
      <c r="K44" s="174">
        <f t="shared" si="15"/>
        <v>44</v>
      </c>
    </row>
    <row r="45" spans="1:12">
      <c r="E45" s="16"/>
      <c r="F45" s="16"/>
      <c r="G45" s="16"/>
      <c r="H45" s="16"/>
      <c r="I45" s="16"/>
      <c r="J45" s="16"/>
      <c r="K45" s="16"/>
    </row>
    <row r="46" spans="1:12">
      <c r="E46" s="16"/>
      <c r="F46" s="16"/>
      <c r="G46" s="16"/>
      <c r="H46" s="16"/>
      <c r="I46" s="16"/>
      <c r="J46" s="16"/>
      <c r="K46" s="16"/>
    </row>
    <row r="47" spans="1:12">
      <c r="E47" s="16"/>
      <c r="F47" s="16"/>
      <c r="G47" s="16"/>
      <c r="H47" s="16"/>
      <c r="I47" s="16"/>
      <c r="J47" s="16"/>
      <c r="K47" s="16"/>
    </row>
    <row r="48" spans="1:12">
      <c r="E48" s="16"/>
      <c r="F48" s="16">
        <f>+F35-E23</f>
        <v>-19549</v>
      </c>
      <c r="G48" s="16">
        <f t="shared" ref="G48:K49" si="16">+G35-F35</f>
        <v>24747</v>
      </c>
      <c r="H48" s="16">
        <f t="shared" si="16"/>
        <v>1856</v>
      </c>
      <c r="I48" s="16">
        <f t="shared" si="16"/>
        <v>895</v>
      </c>
      <c r="J48" s="16">
        <f t="shared" si="16"/>
        <v>598</v>
      </c>
      <c r="K48" s="16">
        <f t="shared" si="16"/>
        <v>401</v>
      </c>
      <c r="L48" s="16"/>
    </row>
    <row r="49" spans="1:12">
      <c r="F49" s="16">
        <f>+F36-E24</f>
        <v>-2370</v>
      </c>
      <c r="G49" s="16">
        <f t="shared" si="16"/>
        <v>3105</v>
      </c>
      <c r="H49" s="16">
        <f t="shared" si="16"/>
        <v>344</v>
      </c>
      <c r="I49" s="16">
        <f t="shared" si="16"/>
        <v>137</v>
      </c>
      <c r="J49" s="16">
        <f t="shared" si="16"/>
        <v>27</v>
      </c>
      <c r="K49" s="16">
        <f t="shared" si="16"/>
        <v>44</v>
      </c>
      <c r="L49" s="16"/>
    </row>
    <row r="50" spans="1:12">
      <c r="G50" s="16"/>
    </row>
    <row r="52" spans="1:12">
      <c r="F52" s="16"/>
      <c r="G52" s="16"/>
      <c r="H52" s="16"/>
      <c r="I52" s="16"/>
      <c r="J52" s="16"/>
      <c r="K52" s="16"/>
    </row>
    <row r="53" spans="1:12" ht="18">
      <c r="A53" s="310"/>
      <c r="B53" s="310"/>
      <c r="C53" s="310"/>
      <c r="D53" s="310"/>
      <c r="E53" s="310"/>
      <c r="F53" s="310"/>
      <c r="G53" s="310"/>
      <c r="H53" s="310"/>
      <c r="I53" s="310"/>
      <c r="J53" s="310"/>
      <c r="K53" s="310"/>
    </row>
    <row r="57" spans="1:12">
      <c r="H57" s="167">
        <v>10</v>
      </c>
      <c r="I57" s="10">
        <v>3</v>
      </c>
      <c r="J57" s="10">
        <v>4</v>
      </c>
      <c r="K57" s="10">
        <v>5</v>
      </c>
    </row>
    <row r="58" spans="1:12">
      <c r="H58" s="10">
        <v>2</v>
      </c>
      <c r="I58" s="10">
        <v>6</v>
      </c>
      <c r="J58" s="10">
        <v>2</v>
      </c>
      <c r="K58" s="10">
        <v>6</v>
      </c>
    </row>
    <row r="59" spans="1:12">
      <c r="H59" s="10">
        <f>+H57+H58</f>
        <v>12</v>
      </c>
      <c r="I59" s="10">
        <f>+I58+$H$57</f>
        <v>16</v>
      </c>
      <c r="J59" s="10">
        <f>+J58+$H$57</f>
        <v>12</v>
      </c>
      <c r="K59" s="10">
        <f>+K58+$H$57</f>
        <v>16</v>
      </c>
    </row>
  </sheetData>
  <autoFilter ref="A1:M42">
    <filterColumn colId="0" showButton="0"/>
    <filterColumn colId="1" showButton="0"/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</autoFilter>
  <mergeCells count="3">
    <mergeCell ref="A1:K1"/>
    <mergeCell ref="A2:K2"/>
    <mergeCell ref="A53:K53"/>
  </mergeCells>
  <phoneticPr fontId="3" type="noConversion"/>
  <printOptions horizontalCentered="1"/>
  <pageMargins left="0.3" right="0.46" top="0.4" bottom="0.47" header="0.18" footer="0.26"/>
  <pageSetup paperSize="9" scale="90" orientation="landscape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>
  <sheetPr>
    <tabColor rgb="FF00B050"/>
  </sheetPr>
  <dimension ref="A1:H13"/>
  <sheetViews>
    <sheetView workbookViewId="0">
      <selection activeCell="A5" sqref="A5"/>
    </sheetView>
  </sheetViews>
  <sheetFormatPr defaultRowHeight="12.75"/>
  <cols>
    <col min="1" max="1" width="23.85546875" customWidth="1"/>
    <col min="2" max="2" width="6.7109375" bestFit="1" customWidth="1"/>
    <col min="3" max="4" width="10.140625" customWidth="1"/>
    <col min="5" max="8" width="7.5703125" bestFit="1" customWidth="1"/>
  </cols>
  <sheetData>
    <row r="1" spans="1:8">
      <c r="A1" s="50" t="s">
        <v>136</v>
      </c>
    </row>
    <row r="2" spans="1:8">
      <c r="A2" s="42"/>
    </row>
    <row r="3" spans="1:8">
      <c r="A3" s="51"/>
    </row>
    <row r="4" spans="1:8" ht="45" customHeight="1">
      <c r="A4" s="52" t="s">
        <v>0</v>
      </c>
      <c r="B4" s="102" t="s">
        <v>12</v>
      </c>
      <c r="C4" s="164" t="s">
        <v>432</v>
      </c>
      <c r="D4" s="103" t="s">
        <v>433</v>
      </c>
      <c r="E4" s="103" t="s">
        <v>434</v>
      </c>
      <c r="F4" s="103" t="s">
        <v>435</v>
      </c>
      <c r="G4" s="103" t="s">
        <v>436</v>
      </c>
      <c r="H4" s="103" t="s">
        <v>437</v>
      </c>
    </row>
    <row r="5" spans="1:8" ht="21" customHeight="1">
      <c r="A5" s="3" t="s">
        <v>137</v>
      </c>
      <c r="B5" s="4"/>
      <c r="C5" s="4"/>
      <c r="D5" s="4"/>
      <c r="E5" s="4"/>
      <c r="F5" s="4"/>
      <c r="G5" s="4"/>
      <c r="H5" s="4"/>
    </row>
    <row r="6" spans="1:8" ht="21" customHeight="1">
      <c r="A6" s="3" t="s">
        <v>138</v>
      </c>
      <c r="B6" s="4"/>
      <c r="C6" s="4"/>
      <c r="D6" s="4"/>
      <c r="E6" s="4"/>
      <c r="F6" s="4"/>
      <c r="G6" s="4"/>
      <c r="H6" s="4"/>
    </row>
    <row r="7" spans="1:8" ht="21" customHeight="1">
      <c r="A7" s="3" t="s">
        <v>139</v>
      </c>
      <c r="B7" s="4"/>
      <c r="C7" s="4"/>
      <c r="D7" s="4"/>
      <c r="E7" s="4"/>
      <c r="F7" s="4"/>
      <c r="G7" s="4"/>
      <c r="H7" s="4"/>
    </row>
    <row r="12" spans="1:8" ht="25.5">
      <c r="C12" s="143" t="s">
        <v>418</v>
      </c>
      <c r="D12" s="143" t="s">
        <v>419</v>
      </c>
      <c r="E12" s="143" t="s">
        <v>420</v>
      </c>
      <c r="F12" s="143" t="s">
        <v>421</v>
      </c>
      <c r="G12" s="143" t="s">
        <v>422</v>
      </c>
    </row>
    <row r="13" spans="1:8">
      <c r="C13" s="132">
        <v>0.995</v>
      </c>
      <c r="D13" s="132">
        <v>0.995</v>
      </c>
      <c r="E13" s="132">
        <v>0.995</v>
      </c>
      <c r="F13" s="132">
        <v>0.995</v>
      </c>
      <c r="G13" s="132">
        <v>0.995</v>
      </c>
    </row>
  </sheetData>
  <phoneticPr fontId="3" type="noConversion"/>
  <dataValidations count="1">
    <dataValidation type="decimal" allowBlank="1" showInputMessage="1" showErrorMessage="1" error="Enter in number format only" sqref="B4">
      <formula1>-1000000000000000</formula1>
      <formula2>100000000000000000</formula2>
    </dataValidation>
  </dataValidations>
  <printOptions horizontalCentered="1"/>
  <pageMargins left="0.75" right="0.75" top="1" bottom="1" header="0.5" footer="0.5"/>
  <pageSetup paperSize="9" orientation="landscape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L21"/>
  <sheetViews>
    <sheetView showGridLines="0" tabSelected="1" view="pageBreakPreview" topLeftCell="A7" zoomScaleSheetLayoutView="100" workbookViewId="0">
      <selection activeCell="J20" sqref="J20"/>
    </sheetView>
  </sheetViews>
  <sheetFormatPr defaultRowHeight="12.75"/>
  <cols>
    <col min="1" max="1" width="42.42578125" customWidth="1"/>
    <col min="2" max="2" width="6.5703125" hidden="1" customWidth="1"/>
    <col min="3" max="3" width="8.85546875" hidden="1" customWidth="1"/>
    <col min="4" max="4" width="9" hidden="1" customWidth="1"/>
    <col min="5" max="5" width="9.5703125" hidden="1" customWidth="1"/>
    <col min="6" max="6" width="9.7109375" hidden="1" customWidth="1"/>
    <col min="7" max="7" width="12.28515625" customWidth="1"/>
    <col min="8" max="8" width="11.85546875" bestFit="1" customWidth="1"/>
    <col min="9" max="10" width="12.28515625" bestFit="1" customWidth="1"/>
    <col min="11" max="11" width="12.7109375" bestFit="1" customWidth="1"/>
    <col min="12" max="12" width="11.85546875" bestFit="1" customWidth="1"/>
  </cols>
  <sheetData>
    <row r="1" spans="1:12">
      <c r="A1" s="6" t="s">
        <v>23</v>
      </c>
    </row>
    <row r="2" spans="1:12">
      <c r="A2" s="7" t="s">
        <v>24</v>
      </c>
    </row>
    <row r="3" spans="1:12">
      <c r="A3" s="6"/>
      <c r="J3" s="279" t="s">
        <v>365</v>
      </c>
      <c r="K3" s="279"/>
    </row>
    <row r="4" spans="1:12" ht="26.25" customHeight="1">
      <c r="A4" s="102" t="s">
        <v>0</v>
      </c>
      <c r="B4" s="102" t="s">
        <v>12</v>
      </c>
      <c r="C4" s="103" t="s">
        <v>18</v>
      </c>
      <c r="D4" s="103" t="s">
        <v>19</v>
      </c>
      <c r="E4" s="103" t="s">
        <v>20</v>
      </c>
      <c r="F4" s="103" t="s">
        <v>21</v>
      </c>
      <c r="G4" s="164" t="s">
        <v>432</v>
      </c>
      <c r="H4" s="103" t="s">
        <v>433</v>
      </c>
      <c r="I4" s="103" t="s">
        <v>434</v>
      </c>
      <c r="J4" s="103" t="s">
        <v>435</v>
      </c>
      <c r="K4" s="103" t="s">
        <v>436</v>
      </c>
      <c r="L4" s="103" t="s">
        <v>437</v>
      </c>
    </row>
    <row r="5" spans="1:12" s="62" customFormat="1" ht="18.75" customHeight="1">
      <c r="A5" s="136" t="s">
        <v>25</v>
      </c>
      <c r="B5" s="130"/>
      <c r="C5" s="136">
        <f t="shared" ref="C5:L5" si="0">+C6+C7</f>
        <v>5509.4699999999993</v>
      </c>
      <c r="D5" s="136">
        <f t="shared" si="0"/>
        <v>7456.8499999999995</v>
      </c>
      <c r="E5" s="136">
        <f t="shared" si="0"/>
        <v>9246.06</v>
      </c>
      <c r="F5" s="136">
        <f t="shared" si="0"/>
        <v>11228.26</v>
      </c>
      <c r="G5" s="136">
        <f t="shared" si="0"/>
        <v>14818.060000000001</v>
      </c>
      <c r="H5" s="136">
        <f t="shared" si="0"/>
        <v>17652.089045059995</v>
      </c>
      <c r="I5" s="136">
        <f t="shared" si="0"/>
        <v>19620.378848799399</v>
      </c>
      <c r="J5" s="136">
        <f t="shared" si="0"/>
        <v>25723.241054311329</v>
      </c>
      <c r="K5" s="136">
        <f t="shared" si="0"/>
        <v>26493.625677162454</v>
      </c>
      <c r="L5" s="136">
        <f t="shared" si="0"/>
        <v>31869.750670553229</v>
      </c>
    </row>
    <row r="6" spans="1:12" s="62" customFormat="1" ht="18.75" customHeight="1">
      <c r="A6" s="168" t="s">
        <v>26</v>
      </c>
      <c r="B6" s="61"/>
      <c r="C6" s="169">
        <f>+'1.1a(GFA)'!C64</f>
        <v>4819.9799999999996</v>
      </c>
      <c r="D6" s="169">
        <f t="shared" ref="D6:L6" si="1">+C6+C7</f>
        <v>5509.4699999999993</v>
      </c>
      <c r="E6" s="169">
        <f t="shared" si="1"/>
        <v>7456.8499999999995</v>
      </c>
      <c r="F6" s="169">
        <f t="shared" si="1"/>
        <v>9246.06</v>
      </c>
      <c r="G6" s="169">
        <f t="shared" si="1"/>
        <v>11228.26</v>
      </c>
      <c r="H6" s="169">
        <f>+'1.1a(GFA)'!C224</f>
        <v>14825.829999999998</v>
      </c>
      <c r="I6" s="169">
        <f t="shared" si="1"/>
        <v>17652.089045059995</v>
      </c>
      <c r="J6" s="169">
        <f t="shared" si="1"/>
        <v>19620.378848799399</v>
      </c>
      <c r="K6" s="169">
        <f t="shared" si="1"/>
        <v>25723.241054311329</v>
      </c>
      <c r="L6" s="169">
        <f t="shared" si="1"/>
        <v>26493.625677162454</v>
      </c>
    </row>
    <row r="7" spans="1:12" s="62" customFormat="1" ht="18.75" customHeight="1">
      <c r="A7" s="168" t="s">
        <v>27</v>
      </c>
      <c r="B7" s="61"/>
      <c r="C7" s="169">
        <f>+'1.1a(GFA)'!D64+'1.1a(GFA)'!E64</f>
        <v>689.49</v>
      </c>
      <c r="D7" s="169">
        <f>+'1.1a(GFA)'!D96+'1.1a(GFA)'!E96</f>
        <v>1947.3800000000003</v>
      </c>
      <c r="E7" s="169">
        <f>+'1.1a(GFA)'!D128+'1.1a(GFA)'!E128</f>
        <v>1789.21</v>
      </c>
      <c r="F7" s="169">
        <f>+'1.1a(GFA)'!D160+'1.1a(GFA)'!E160</f>
        <v>1982.2</v>
      </c>
      <c r="G7" s="169">
        <f>+'1.1a(GFA)'!D192+'1.1a(GFA)'!E192</f>
        <v>3589.8</v>
      </c>
      <c r="H7" s="169">
        <f>+'1.1a(GFA)'!D224+'1.1a(GFA)'!E224</f>
        <v>2826.2590450599978</v>
      </c>
      <c r="I7" s="169">
        <f>+'1.1a(GFA)'!D256+'1.1a(GFA)'!E256</f>
        <v>1968.2898037394039</v>
      </c>
      <c r="J7" s="169">
        <f>+'1.1a(GFA)'!D288+'1.1a(GFA)'!E288</f>
        <v>6102.8622055119304</v>
      </c>
      <c r="K7" s="169">
        <f>+'1.1a(GFA)'!D320+'1.1a(GFA)'!E320</f>
        <v>770.38462285112541</v>
      </c>
      <c r="L7" s="169">
        <f>+'1.1a(GFA)'!D352+'1.1a(GFA)'!E352</f>
        <v>5376.1249933907729</v>
      </c>
    </row>
    <row r="8" spans="1:12" s="62" customFormat="1" ht="18.75" customHeight="1">
      <c r="A8" s="136" t="s">
        <v>2</v>
      </c>
      <c r="B8" s="130"/>
      <c r="C8" s="136">
        <f t="shared" ref="C8:L8" si="2">+C9+C10</f>
        <v>2334.4699999999998</v>
      </c>
      <c r="D8" s="136">
        <f t="shared" si="2"/>
        <v>2624.41</v>
      </c>
      <c r="E8" s="136">
        <f t="shared" si="2"/>
        <v>3055.3399999999997</v>
      </c>
      <c r="F8" s="136">
        <f t="shared" si="2"/>
        <v>3639.79</v>
      </c>
      <c r="G8" s="136">
        <f t="shared" si="2"/>
        <v>4376.95</v>
      </c>
      <c r="H8" s="136">
        <f t="shared" si="2"/>
        <v>5278.6140008977645</v>
      </c>
      <c r="I8" s="136">
        <f t="shared" si="2"/>
        <v>6310.9665081784278</v>
      </c>
      <c r="J8" s="136">
        <f t="shared" si="2"/>
        <v>7588.1092562185968</v>
      </c>
      <c r="K8" s="136">
        <f t="shared" si="2"/>
        <v>9070.3907338578247</v>
      </c>
      <c r="L8" s="136">
        <f t="shared" si="2"/>
        <v>10736.750449154562</v>
      </c>
    </row>
    <row r="9" spans="1:12" s="62" customFormat="1" ht="18.75" customHeight="1">
      <c r="A9" s="168" t="s">
        <v>28</v>
      </c>
      <c r="B9" s="61"/>
      <c r="C9" s="169">
        <f>+'1.1b (Dep)'!B64</f>
        <v>2120.52</v>
      </c>
      <c r="D9" s="169">
        <f t="shared" ref="D9:L9" si="3">+C9+C10</f>
        <v>2334.4699999999998</v>
      </c>
      <c r="E9" s="169">
        <f t="shared" si="3"/>
        <v>2624.41</v>
      </c>
      <c r="F9" s="169">
        <f t="shared" si="3"/>
        <v>3055.3399999999997</v>
      </c>
      <c r="G9" s="169">
        <f t="shared" si="3"/>
        <v>3639.79</v>
      </c>
      <c r="H9" s="169">
        <f>+'1.1b (Dep)'!B224</f>
        <v>4378.95</v>
      </c>
      <c r="I9" s="169">
        <f t="shared" si="3"/>
        <v>5278.6140008977645</v>
      </c>
      <c r="J9" s="169">
        <f t="shared" si="3"/>
        <v>6310.9665081784278</v>
      </c>
      <c r="K9" s="169">
        <f t="shared" si="3"/>
        <v>7588.1092562185968</v>
      </c>
      <c r="L9" s="169">
        <f t="shared" si="3"/>
        <v>9070.3907338578247</v>
      </c>
    </row>
    <row r="10" spans="1:12" s="62" customFormat="1" ht="18.75" customHeight="1">
      <c r="A10" s="168" t="s">
        <v>29</v>
      </c>
      <c r="B10" s="61"/>
      <c r="C10" s="169">
        <f>+'1.1b (Dep)'!G64+'1.1b (Dep)'!H64</f>
        <v>213.95000000000002</v>
      </c>
      <c r="D10" s="169">
        <f>+'1.1b (Dep)'!G96+'1.1b (Dep)'!H96</f>
        <v>289.94</v>
      </c>
      <c r="E10" s="169">
        <f>+'1.1b (Dep)'!G128+'1.1b (Dep)'!H128</f>
        <v>430.92999999999978</v>
      </c>
      <c r="F10" s="169">
        <f>+'1.1b (Dep)'!G160+'1.1b (Dep)'!H160</f>
        <v>584.45000000000005</v>
      </c>
      <c r="G10" s="169">
        <f>+'1.1b (Dep)'!G192-'1.1b (Dep)'!H192</f>
        <v>737.16000000000008</v>
      </c>
      <c r="H10" s="169">
        <f>+'1.1b (Dep)'!G224</f>
        <v>899.66400089776437</v>
      </c>
      <c r="I10" s="169">
        <f>+'1.1b (Dep)'!G256</f>
        <v>1032.3525072806631</v>
      </c>
      <c r="J10" s="169">
        <f>+'1.1b (Dep)'!G288</f>
        <v>1277.1427480401687</v>
      </c>
      <c r="K10" s="169">
        <f>+'1.1b (Dep)'!G320</f>
        <v>1482.2814776392288</v>
      </c>
      <c r="L10" s="169">
        <f>+'1.1b (Dep)'!G352</f>
        <v>1666.359715296737</v>
      </c>
    </row>
    <row r="11" spans="1:12" s="62" customFormat="1" ht="18.75" customHeight="1">
      <c r="A11" s="136" t="s">
        <v>30</v>
      </c>
      <c r="B11" s="61"/>
      <c r="C11" s="136">
        <f t="shared" ref="C11:L11" si="4">+C12+C13</f>
        <v>688.36</v>
      </c>
      <c r="D11" s="136">
        <f t="shared" si="4"/>
        <v>737.27</v>
      </c>
      <c r="E11" s="136">
        <f t="shared" si="4"/>
        <v>469.54</v>
      </c>
      <c r="F11" s="136">
        <f t="shared" si="4"/>
        <v>573.58000000000004</v>
      </c>
      <c r="G11" s="136">
        <f t="shared" si="4"/>
        <v>1918.27</v>
      </c>
      <c r="H11" s="136">
        <f t="shared" si="4"/>
        <v>3593.62</v>
      </c>
      <c r="I11" s="136">
        <f t="shared" si="4"/>
        <v>3495.43</v>
      </c>
      <c r="J11" s="136">
        <f t="shared" si="4"/>
        <v>4477.9799999999996</v>
      </c>
      <c r="K11" s="136">
        <f t="shared" si="4"/>
        <v>4127.4699999999993</v>
      </c>
      <c r="L11" s="136">
        <f t="shared" si="4"/>
        <v>5968</v>
      </c>
    </row>
    <row r="12" spans="1:12" s="62" customFormat="1" ht="18.75" customHeight="1">
      <c r="A12" s="168" t="s">
        <v>31</v>
      </c>
      <c r="B12" s="61"/>
      <c r="C12" s="169">
        <f>+'7(Cont.)'!C14</f>
        <v>671.19</v>
      </c>
      <c r="D12" s="169">
        <f t="shared" ref="D12:L12" si="5">+C12+C13</f>
        <v>688.36</v>
      </c>
      <c r="E12" s="169">
        <f t="shared" si="5"/>
        <v>737.27</v>
      </c>
      <c r="F12" s="169">
        <f t="shared" si="5"/>
        <v>469.54</v>
      </c>
      <c r="G12" s="169">
        <f t="shared" si="5"/>
        <v>573.58000000000004</v>
      </c>
      <c r="H12" s="169">
        <f t="shared" si="5"/>
        <v>1918.27</v>
      </c>
      <c r="I12" s="169">
        <f t="shared" si="5"/>
        <v>3593.62</v>
      </c>
      <c r="J12" s="169">
        <f t="shared" si="5"/>
        <v>3495.43</v>
      </c>
      <c r="K12" s="169">
        <f t="shared" si="5"/>
        <v>4477.9799999999996</v>
      </c>
      <c r="L12" s="169">
        <f t="shared" si="5"/>
        <v>4127.4699999999993</v>
      </c>
    </row>
    <row r="13" spans="1:12" s="62" customFormat="1" ht="18.75" customHeight="1">
      <c r="A13" s="168" t="s">
        <v>32</v>
      </c>
      <c r="B13" s="61"/>
      <c r="C13" s="169">
        <f>+'7(Cont.)'!D14-'7(Cont.)'!E14</f>
        <v>17.170000000000002</v>
      </c>
      <c r="D13" s="169">
        <f>+'7(Cont.)'!D20-'7(Cont.)'!E20</f>
        <v>48.909999999999968</v>
      </c>
      <c r="E13" s="169">
        <f>+'7(Cont.)'!D26-'7(Cont.)'!E26</f>
        <v>-267.72999999999996</v>
      </c>
      <c r="F13" s="169">
        <f>+'7(Cont.)'!D32-'7(Cont.)'!E32</f>
        <v>104.04</v>
      </c>
      <c r="G13" s="169">
        <f>+'7(Cont.)'!D40-'7(Cont.)'!E40</f>
        <v>1344.6899999999998</v>
      </c>
      <c r="H13" s="169">
        <f>+'7(Cont.)'!D46-'7(Cont.)'!E46</f>
        <v>1675.35</v>
      </c>
      <c r="I13" s="169">
        <f>+'7(Cont.)'!D52-'7(Cont.)'!E52</f>
        <v>-98.189999999999969</v>
      </c>
      <c r="J13" s="169">
        <f>+'7(Cont.)'!D58-'7(Cont.)'!E58</f>
        <v>982.55000000000007</v>
      </c>
      <c r="K13" s="169">
        <f>+'7(Cont.)'!D64-'7(Cont.)'!E64</f>
        <v>-350.51</v>
      </c>
      <c r="L13" s="169">
        <f>+'7(Cont.)'!D70-'7(Cont.)'!E70</f>
        <v>1840.5300000000002</v>
      </c>
    </row>
    <row r="14" spans="1:12" s="62" customFormat="1" ht="18.75" customHeight="1">
      <c r="A14" s="136" t="s">
        <v>33</v>
      </c>
      <c r="B14" s="61"/>
      <c r="C14" s="136">
        <f>+(('1.0'!C5)/303*45)</f>
        <v>44.260396039603961</v>
      </c>
      <c r="D14" s="136">
        <f>+(('1.0'!D5)/365*45)</f>
        <v>48.385479452054788</v>
      </c>
      <c r="E14" s="136">
        <f>+(('1.0'!E5)/365*45)</f>
        <v>60.636575342465754</v>
      </c>
      <c r="F14" s="136">
        <f>+(('1.0'!F5)/365*45)</f>
        <v>61.971780821917804</v>
      </c>
      <c r="G14" s="136">
        <f>+'1.3(i)'!G7</f>
        <v>87.964520547945213</v>
      </c>
      <c r="H14" s="136">
        <f>+'1.3(i)'!H7</f>
        <v>112.48918488239326</v>
      </c>
      <c r="I14" s="136">
        <f>+'1.3(i)'!I7</f>
        <v>131.99964075756091</v>
      </c>
      <c r="J14" s="136">
        <f>+'1.3(i)'!J7</f>
        <v>147.24281830100963</v>
      </c>
      <c r="K14" s="136">
        <f>+'1.3(i)'!K7</f>
        <v>160.58832958004507</v>
      </c>
      <c r="L14" s="136">
        <f>+'1.3(i)'!L7</f>
        <v>175.32005657560404</v>
      </c>
    </row>
    <row r="15" spans="1:12" s="62" customFormat="1" ht="18.75" customHeight="1">
      <c r="A15" s="136" t="s">
        <v>34</v>
      </c>
      <c r="B15" s="61"/>
      <c r="C15" s="136">
        <f t="shared" ref="C15:L15" si="6">((C7-C10-C13)/2)</f>
        <v>229.18499999999997</v>
      </c>
      <c r="D15" s="136">
        <f t="shared" si="6"/>
        <v>804.2650000000001</v>
      </c>
      <c r="E15" s="136">
        <f t="shared" si="6"/>
        <v>813.00500000000011</v>
      </c>
      <c r="F15" s="136">
        <f t="shared" si="6"/>
        <v>646.85500000000002</v>
      </c>
      <c r="G15" s="136">
        <f t="shared" si="6"/>
        <v>753.97500000000025</v>
      </c>
      <c r="H15" s="136">
        <f t="shared" si="6"/>
        <v>125.62252208111681</v>
      </c>
      <c r="I15" s="136">
        <f t="shared" si="6"/>
        <v>517.06364822937041</v>
      </c>
      <c r="J15" s="136">
        <f t="shared" si="6"/>
        <v>1921.5847287358806</v>
      </c>
      <c r="K15" s="136">
        <f t="shared" si="6"/>
        <v>-180.6934273940517</v>
      </c>
      <c r="L15" s="136">
        <f t="shared" si="6"/>
        <v>934.61763904701797</v>
      </c>
    </row>
    <row r="16" spans="1:12" s="62" customFormat="1" ht="18.75" customHeight="1">
      <c r="A16" s="170" t="s">
        <v>35</v>
      </c>
      <c r="B16" s="61"/>
      <c r="C16" s="136">
        <f t="shared" ref="C16:L16" si="7">+(C6-C9-C12+C14+C15)</f>
        <v>2301.7153960396035</v>
      </c>
      <c r="D16" s="136">
        <f t="shared" si="7"/>
        <v>3339.2904794520546</v>
      </c>
      <c r="E16" s="136">
        <f t="shared" si="7"/>
        <v>4968.8115753424654</v>
      </c>
      <c r="F16" s="136">
        <f t="shared" si="7"/>
        <v>6430.0067808219173</v>
      </c>
      <c r="G16" s="136">
        <f t="shared" si="7"/>
        <v>7856.8295205479462</v>
      </c>
      <c r="H16" s="136">
        <f t="shared" si="7"/>
        <v>8766.721706963508</v>
      </c>
      <c r="I16" s="136">
        <f t="shared" si="7"/>
        <v>9428.918333149164</v>
      </c>
      <c r="J16" s="136">
        <f t="shared" si="7"/>
        <v>11882.809887657861</v>
      </c>
      <c r="K16" s="136">
        <f t="shared" si="7"/>
        <v>13637.046700278728</v>
      </c>
      <c r="L16" s="136">
        <f t="shared" si="7"/>
        <v>14405.702638927251</v>
      </c>
    </row>
    <row r="17" spans="1:12" hidden="1">
      <c r="A17" s="190" t="s">
        <v>461</v>
      </c>
      <c r="B17" s="4"/>
      <c r="C17" s="4">
        <v>152.02000000000001</v>
      </c>
      <c r="D17" s="9">
        <v>234.7</v>
      </c>
      <c r="E17" s="9">
        <v>347.5</v>
      </c>
      <c r="F17" s="4">
        <v>394.68</v>
      </c>
      <c r="G17" s="4">
        <v>456.18</v>
      </c>
      <c r="H17" s="4"/>
      <c r="I17" s="4"/>
      <c r="J17" s="4"/>
      <c r="K17" s="4"/>
      <c r="L17" s="4"/>
    </row>
    <row r="18" spans="1:12" hidden="1">
      <c r="A18" s="190" t="s">
        <v>462</v>
      </c>
      <c r="B18" s="4"/>
      <c r="C18" s="4"/>
      <c r="D18" s="4"/>
      <c r="E18" s="4"/>
      <c r="F18" s="4"/>
      <c r="G18" s="4"/>
      <c r="H18" s="9">
        <f>+H16*0.75*0.11</f>
        <v>723.25454082448937</v>
      </c>
      <c r="I18" s="9">
        <f t="shared" ref="I18:L18" si="8">+I16*0.75*0.11</f>
        <v>777.88576248480604</v>
      </c>
      <c r="J18" s="9">
        <f t="shared" si="8"/>
        <v>980.33181573177353</v>
      </c>
      <c r="K18" s="9">
        <f t="shared" si="8"/>
        <v>1125.0563527729951</v>
      </c>
      <c r="L18" s="9">
        <f t="shared" si="8"/>
        <v>1188.4704677114983</v>
      </c>
    </row>
    <row r="19" spans="1:12" hidden="1">
      <c r="A19" s="190" t="s">
        <v>460</v>
      </c>
      <c r="B19" s="4"/>
      <c r="C19" s="9">
        <f>+C16*0.25*0.14*10/12</f>
        <v>67.133365717821775</v>
      </c>
      <c r="D19" s="9">
        <f t="shared" ref="D19:L19" si="9">+D16*0.25*0.14</f>
        <v>116.87516678082193</v>
      </c>
      <c r="E19" s="9">
        <f t="shared" si="9"/>
        <v>173.90840513698632</v>
      </c>
      <c r="F19" s="9">
        <f t="shared" si="9"/>
        <v>225.05023732876714</v>
      </c>
      <c r="G19" s="9">
        <f t="shared" si="9"/>
        <v>274.98903321917817</v>
      </c>
      <c r="H19" s="9">
        <f t="shared" si="9"/>
        <v>306.83525974372282</v>
      </c>
      <c r="I19" s="9">
        <f t="shared" si="9"/>
        <v>330.01214166022078</v>
      </c>
      <c r="J19" s="9">
        <f t="shared" si="9"/>
        <v>415.89834606802515</v>
      </c>
      <c r="K19" s="9">
        <f t="shared" si="9"/>
        <v>477.29663450975551</v>
      </c>
      <c r="L19" s="9">
        <f t="shared" si="9"/>
        <v>504.19959236245381</v>
      </c>
    </row>
    <row r="20" spans="1:12" s="62" customFormat="1" ht="18.75" customHeight="1">
      <c r="A20" s="170" t="s">
        <v>475</v>
      </c>
      <c r="B20" s="61"/>
      <c r="C20" s="136">
        <f>+C17+C18+C19</f>
        <v>219.15336571782177</v>
      </c>
      <c r="D20" s="136">
        <f t="shared" ref="D20:L20" si="10">+D17+D18+D19</f>
        <v>351.57516678082192</v>
      </c>
      <c r="E20" s="136">
        <f t="shared" si="10"/>
        <v>521.40840513698629</v>
      </c>
      <c r="F20" s="136">
        <f t="shared" si="10"/>
        <v>619.73023732876709</v>
      </c>
      <c r="G20" s="136">
        <f t="shared" si="10"/>
        <v>731.16903321917812</v>
      </c>
      <c r="H20" s="136">
        <f t="shared" si="10"/>
        <v>1030.0898005682122</v>
      </c>
      <c r="I20" s="136">
        <f t="shared" si="10"/>
        <v>1107.8979041450268</v>
      </c>
      <c r="J20" s="136">
        <f t="shared" si="10"/>
        <v>1396.2301617997987</v>
      </c>
      <c r="K20" s="136">
        <f t="shared" si="10"/>
        <v>1602.3529872827505</v>
      </c>
      <c r="L20" s="136">
        <f t="shared" si="10"/>
        <v>1692.6700600739521</v>
      </c>
    </row>
    <row r="21" spans="1:12">
      <c r="H21" s="16"/>
    </row>
  </sheetData>
  <mergeCells count="1">
    <mergeCell ref="J3:K3"/>
  </mergeCells>
  <phoneticPr fontId="3" type="noConversion"/>
  <printOptions horizontalCentered="1"/>
  <pageMargins left="0.38" right="0.25" top="1" bottom="1" header="0.5" footer="0.5"/>
  <pageSetup paperSize="9" scale="90" orientation="landscape" verticalDpi="4294967295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M23"/>
  <sheetViews>
    <sheetView showGridLines="0" view="pageBreakPreview" zoomScaleSheetLayoutView="100" workbookViewId="0">
      <selection activeCell="K8" sqref="K8"/>
    </sheetView>
  </sheetViews>
  <sheetFormatPr defaultRowHeight="12.75"/>
  <cols>
    <col min="1" max="1" width="23.85546875" customWidth="1"/>
    <col min="2" max="2" width="6.7109375" hidden="1" customWidth="1"/>
    <col min="3" max="3" width="8" hidden="1" customWidth="1"/>
    <col min="4" max="4" width="8.7109375" hidden="1" customWidth="1"/>
    <col min="5" max="6" width="7.5703125" hidden="1" customWidth="1"/>
    <col min="7" max="7" width="8.28515625" hidden="1" customWidth="1"/>
    <col min="8" max="8" width="12" customWidth="1"/>
    <col min="9" max="13" width="11" customWidth="1"/>
  </cols>
  <sheetData>
    <row r="1" spans="1:13">
      <c r="A1" s="10" t="s">
        <v>36</v>
      </c>
    </row>
    <row r="2" spans="1:13">
      <c r="A2" s="11" t="s">
        <v>37</v>
      </c>
    </row>
    <row r="3" spans="1:13">
      <c r="A3" s="12"/>
    </row>
    <row r="4" spans="1:13" ht="25.5" customHeight="1">
      <c r="A4" s="52" t="s">
        <v>0</v>
      </c>
      <c r="B4" s="102" t="s">
        <v>12</v>
      </c>
      <c r="C4" s="103" t="s">
        <v>17</v>
      </c>
      <c r="D4" s="103" t="s">
        <v>18</v>
      </c>
      <c r="E4" s="103" t="s">
        <v>19</v>
      </c>
      <c r="F4" s="103" t="s">
        <v>20</v>
      </c>
      <c r="G4" s="103" t="s">
        <v>21</v>
      </c>
      <c r="H4" s="164" t="s">
        <v>432</v>
      </c>
      <c r="I4" s="103" t="s">
        <v>433</v>
      </c>
      <c r="J4" s="103" t="s">
        <v>434</v>
      </c>
      <c r="K4" s="103" t="s">
        <v>435</v>
      </c>
      <c r="L4" s="103" t="s">
        <v>436</v>
      </c>
      <c r="M4" s="103" t="s">
        <v>437</v>
      </c>
    </row>
    <row r="5" spans="1:13" s="62" customFormat="1" ht="19.5" customHeight="1">
      <c r="A5" s="33" t="s">
        <v>38</v>
      </c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</row>
    <row r="6" spans="1:13" s="62" customFormat="1" ht="19.5" customHeight="1">
      <c r="A6" s="131" t="s">
        <v>39</v>
      </c>
      <c r="B6" s="61"/>
      <c r="C6" s="132">
        <v>0.75</v>
      </c>
      <c r="D6" s="132">
        <v>0.75</v>
      </c>
      <c r="E6" s="132">
        <v>0.75</v>
      </c>
      <c r="F6" s="132">
        <v>0.75</v>
      </c>
      <c r="G6" s="132">
        <v>0.75</v>
      </c>
      <c r="H6" s="132">
        <v>0.75</v>
      </c>
      <c r="I6" s="132">
        <v>0.75</v>
      </c>
      <c r="J6" s="132">
        <v>0.75</v>
      </c>
      <c r="K6" s="132">
        <v>0.75</v>
      </c>
      <c r="L6" s="132">
        <v>0.75</v>
      </c>
      <c r="M6" s="132">
        <v>0.75</v>
      </c>
    </row>
    <row r="7" spans="1:13" s="62" customFormat="1" ht="19.5" customHeight="1">
      <c r="A7" s="133" t="s">
        <v>40</v>
      </c>
      <c r="B7" s="61"/>
      <c r="C7" s="132">
        <f>100%-C6</f>
        <v>0.25</v>
      </c>
      <c r="D7" s="132">
        <f>100%-D6</f>
        <v>0.25</v>
      </c>
      <c r="E7" s="132">
        <f>100%-E6</f>
        <v>0.25</v>
      </c>
      <c r="F7" s="132">
        <f>100%-F6</f>
        <v>0.25</v>
      </c>
      <c r="G7" s="132">
        <f>100%-G6</f>
        <v>0.25</v>
      </c>
      <c r="H7" s="132">
        <v>0.25</v>
      </c>
      <c r="I7" s="132">
        <v>0.25</v>
      </c>
      <c r="J7" s="132">
        <v>0.25</v>
      </c>
      <c r="K7" s="132">
        <v>0.25</v>
      </c>
      <c r="L7" s="132">
        <v>0.25</v>
      </c>
      <c r="M7" s="132">
        <v>0.25</v>
      </c>
    </row>
    <row r="8" spans="1:13" s="62" customFormat="1" ht="19.5" customHeight="1">
      <c r="A8" s="33" t="s">
        <v>41</v>
      </c>
      <c r="B8" s="61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</row>
    <row r="9" spans="1:13" s="62" customFormat="1" ht="19.5" customHeight="1">
      <c r="A9" s="131" t="s">
        <v>42</v>
      </c>
      <c r="B9" s="61"/>
      <c r="C9" s="132"/>
      <c r="D9" s="132"/>
      <c r="E9" s="132"/>
      <c r="F9" s="132"/>
      <c r="G9" s="132"/>
      <c r="H9" s="132">
        <v>0.11</v>
      </c>
      <c r="I9" s="132">
        <v>0.11</v>
      </c>
      <c r="J9" s="132">
        <v>0.11</v>
      </c>
      <c r="K9" s="132">
        <v>0.11</v>
      </c>
      <c r="L9" s="132">
        <v>0.11</v>
      </c>
      <c r="M9" s="132">
        <v>0.11</v>
      </c>
    </row>
    <row r="10" spans="1:13" s="62" customFormat="1" ht="19.5" customHeight="1">
      <c r="A10" s="133" t="s">
        <v>43</v>
      </c>
      <c r="B10" s="61"/>
      <c r="C10" s="132">
        <v>0.14000000000000001</v>
      </c>
      <c r="D10" s="132">
        <v>0.14000000000000001</v>
      </c>
      <c r="E10" s="132">
        <v>0.14000000000000001</v>
      </c>
      <c r="F10" s="132">
        <v>0.14000000000000001</v>
      </c>
      <c r="G10" s="132">
        <v>0.14000000000000001</v>
      </c>
      <c r="H10" s="132">
        <v>0.14000000000000001</v>
      </c>
      <c r="I10" s="132">
        <v>0.14000000000000001</v>
      </c>
      <c r="J10" s="132">
        <v>0.14000000000000001</v>
      </c>
      <c r="K10" s="132">
        <v>0.14000000000000001</v>
      </c>
      <c r="L10" s="132">
        <v>0.14000000000000001</v>
      </c>
      <c r="M10" s="132">
        <v>0.14000000000000001</v>
      </c>
    </row>
    <row r="11" spans="1:13" s="62" customFormat="1" ht="19.5" customHeight="1">
      <c r="A11" s="33" t="s">
        <v>44</v>
      </c>
      <c r="B11" s="130"/>
      <c r="C11" s="134">
        <f>+(C6*C9)+(C7*C10)</f>
        <v>3.5000000000000003E-2</v>
      </c>
      <c r="D11" s="134">
        <f t="shared" ref="D11:M11" si="0">+(D6*D9)+(D7*D10)</f>
        <v>3.5000000000000003E-2</v>
      </c>
      <c r="E11" s="134">
        <f t="shared" si="0"/>
        <v>3.5000000000000003E-2</v>
      </c>
      <c r="F11" s="134">
        <f t="shared" si="0"/>
        <v>3.5000000000000003E-2</v>
      </c>
      <c r="G11" s="134">
        <f t="shared" si="0"/>
        <v>3.5000000000000003E-2</v>
      </c>
      <c r="H11" s="134">
        <f t="shared" si="0"/>
        <v>0.11750000000000001</v>
      </c>
      <c r="I11" s="134">
        <f t="shared" si="0"/>
        <v>0.11750000000000001</v>
      </c>
      <c r="J11" s="134">
        <f t="shared" si="0"/>
        <v>0.11750000000000001</v>
      </c>
      <c r="K11" s="134">
        <f t="shared" si="0"/>
        <v>0.11750000000000001</v>
      </c>
      <c r="L11" s="134">
        <f t="shared" si="0"/>
        <v>0.11750000000000001</v>
      </c>
      <c r="M11" s="134">
        <f t="shared" si="0"/>
        <v>0.11750000000000001</v>
      </c>
    </row>
    <row r="15" spans="1:13">
      <c r="C15" s="129"/>
      <c r="D15" s="129"/>
      <c r="E15" s="129"/>
      <c r="F15" s="129"/>
      <c r="G15" s="129"/>
      <c r="H15" s="129"/>
      <c r="I15" s="129"/>
      <c r="J15" s="129"/>
      <c r="K15" s="129"/>
      <c r="L15" s="129"/>
      <c r="M15" s="129"/>
    </row>
    <row r="16" spans="1:13">
      <c r="G16" s="16"/>
    </row>
    <row r="17" spans="3:7">
      <c r="C17" s="16"/>
      <c r="D17" s="16"/>
      <c r="E17" s="16"/>
      <c r="F17" s="16"/>
      <c r="G17" s="16"/>
    </row>
    <row r="19" spans="3:7">
      <c r="E19" s="16"/>
    </row>
    <row r="22" spans="3:7">
      <c r="C22">
        <v>0.63632278876751625</v>
      </c>
      <c r="D22">
        <v>0.64711779209720255</v>
      </c>
      <c r="E22">
        <v>0.71776501323617614</v>
      </c>
      <c r="F22">
        <v>0.85881262313328455</v>
      </c>
      <c r="G22">
        <v>0.91245454738767107</v>
      </c>
    </row>
    <row r="23" spans="3:7">
      <c r="C23">
        <v>0.36367721123248375</v>
      </c>
      <c r="D23">
        <v>0.35288220790279745</v>
      </c>
      <c r="E23">
        <v>0.28223498676382386</v>
      </c>
      <c r="F23">
        <v>0.14118737686671545</v>
      </c>
      <c r="G23">
        <v>8.7545452612328933E-2</v>
      </c>
    </row>
  </sheetData>
  <phoneticPr fontId="3" type="noConversion"/>
  <printOptions horizontalCentered="1"/>
  <pageMargins left="0.75" right="0.75" top="1" bottom="1" header="0.5" footer="0.5"/>
  <pageSetup orientation="landscape" verticalDpi="4294967295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M15"/>
  <sheetViews>
    <sheetView showGridLines="0" view="pageBreakPreview" zoomScaleSheetLayoutView="100" workbookViewId="0">
      <selection activeCell="L9" sqref="L9"/>
    </sheetView>
  </sheetViews>
  <sheetFormatPr defaultRowHeight="12.75"/>
  <cols>
    <col min="1" max="1" width="35.28515625" bestFit="1" customWidth="1"/>
    <col min="2" max="2" width="6.7109375" hidden="1" customWidth="1"/>
    <col min="3" max="7" width="8.5703125" hidden="1" customWidth="1"/>
    <col min="8" max="8" width="12.140625" customWidth="1"/>
    <col min="9" max="10" width="10.85546875" bestFit="1" customWidth="1"/>
    <col min="11" max="11" width="11.140625" bestFit="1" customWidth="1"/>
    <col min="12" max="12" width="10.85546875" bestFit="1" customWidth="1"/>
    <col min="13" max="13" width="10.5703125" bestFit="1" customWidth="1"/>
  </cols>
  <sheetData>
    <row r="1" spans="1:13">
      <c r="A1" s="10" t="s">
        <v>45</v>
      </c>
    </row>
    <row r="2" spans="1:13">
      <c r="A2" s="10"/>
      <c r="K2" s="279" t="s">
        <v>373</v>
      </c>
      <c r="L2" s="279"/>
    </row>
    <row r="3" spans="1:13" ht="27.75" customHeight="1">
      <c r="A3" s="52" t="s">
        <v>0</v>
      </c>
      <c r="B3" s="102" t="s">
        <v>12</v>
      </c>
      <c r="C3" s="103" t="s">
        <v>17</v>
      </c>
      <c r="D3" s="103" t="s">
        <v>18</v>
      </c>
      <c r="E3" s="103" t="s">
        <v>19</v>
      </c>
      <c r="F3" s="103" t="s">
        <v>20</v>
      </c>
      <c r="G3" s="103" t="s">
        <v>21</v>
      </c>
      <c r="H3" s="164" t="s">
        <v>432</v>
      </c>
      <c r="I3" s="103" t="s">
        <v>433</v>
      </c>
      <c r="J3" s="103" t="s">
        <v>434</v>
      </c>
      <c r="K3" s="103" t="s">
        <v>435</v>
      </c>
      <c r="L3" s="103" t="s">
        <v>436</v>
      </c>
      <c r="M3" s="103" t="s">
        <v>437</v>
      </c>
    </row>
    <row r="4" spans="1:13">
      <c r="A4" s="13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</row>
    <row r="5" spans="1:13" ht="18" customHeight="1">
      <c r="A5" s="15" t="s">
        <v>46</v>
      </c>
      <c r="B5" s="9"/>
      <c r="C5" s="158"/>
      <c r="D5" s="158">
        <f t="shared" ref="D5:M5" si="0">+D6+D7+D8</f>
        <v>0</v>
      </c>
      <c r="E5" s="158">
        <f t="shared" si="0"/>
        <v>0</v>
      </c>
      <c r="F5" s="158">
        <f t="shared" si="0"/>
        <v>0</v>
      </c>
      <c r="G5" s="158">
        <f t="shared" si="0"/>
        <v>0</v>
      </c>
      <c r="H5" s="158">
        <f t="shared" si="0"/>
        <v>16047</v>
      </c>
      <c r="I5" s="158">
        <f t="shared" si="0"/>
        <v>15235.5</v>
      </c>
      <c r="J5" s="158">
        <f t="shared" si="0"/>
        <v>17563.93</v>
      </c>
      <c r="K5" s="158">
        <f t="shared" si="0"/>
        <v>17569.009999999998</v>
      </c>
      <c r="L5" s="158">
        <f t="shared" si="0"/>
        <v>19587.430000000004</v>
      </c>
      <c r="M5" s="158">
        <f t="shared" si="0"/>
        <v>21113.59</v>
      </c>
    </row>
    <row r="6" spans="1:13" ht="18" customHeight="1">
      <c r="A6" s="14" t="s">
        <v>440</v>
      </c>
      <c r="B6" s="4"/>
      <c r="C6" s="159"/>
      <c r="D6" s="159">
        <f>+'1.1m(cap)'!D7</f>
        <v>0</v>
      </c>
      <c r="E6" s="159">
        <f>+'1.1m(cap)'!E7</f>
        <v>0</v>
      </c>
      <c r="F6" s="159">
        <f>+'1.1m(cap)'!F7</f>
        <v>0</v>
      </c>
      <c r="G6" s="159">
        <f>+'1.1m(cap)'!G7</f>
        <v>0</v>
      </c>
      <c r="H6" s="159">
        <v>10935</v>
      </c>
      <c r="I6" s="159">
        <f>+'1.1m(cap)'!I7</f>
        <v>10668.56</v>
      </c>
      <c r="J6" s="159">
        <f>+'1.1m(cap)'!J7</f>
        <v>12307.99</v>
      </c>
      <c r="K6" s="159">
        <f>+'1.1m(cap)'!K7</f>
        <v>12307.99</v>
      </c>
      <c r="L6" s="159">
        <f>+'1.1m(cap)'!L7</f>
        <v>13725.62</v>
      </c>
      <c r="M6" s="159">
        <f>+'1.1m(cap)'!M7</f>
        <v>14797.98</v>
      </c>
    </row>
    <row r="7" spans="1:13" ht="18" customHeight="1">
      <c r="A7" s="14" t="s">
        <v>441</v>
      </c>
      <c r="B7" s="4"/>
      <c r="C7" s="159"/>
      <c r="D7" s="159">
        <f>+'1.1m(cap)'!D11</f>
        <v>0</v>
      </c>
      <c r="E7" s="159">
        <f>+'1.1m(cap)'!E11</f>
        <v>0</v>
      </c>
      <c r="F7" s="159">
        <f>+'1.1m(cap)'!F11</f>
        <v>0</v>
      </c>
      <c r="G7" s="159">
        <f>+'1.1m(cap)'!G11</f>
        <v>0</v>
      </c>
      <c r="H7" s="159">
        <v>5111</v>
      </c>
      <c r="I7" s="159">
        <f>+'1.1m(cap)'!I11</f>
        <v>4520.6899999999996</v>
      </c>
      <c r="J7" s="159">
        <f>+'1.1m(cap)'!J11</f>
        <v>5205.0600000000004</v>
      </c>
      <c r="K7" s="159">
        <f>+'1.1m(cap)'!K11</f>
        <v>5205.0600000000004</v>
      </c>
      <c r="L7" s="159">
        <f>+'1.1m(cap)'!L11</f>
        <v>5800.25</v>
      </c>
      <c r="M7" s="159">
        <f>+'1.1m(cap)'!M11</f>
        <v>6247.89</v>
      </c>
    </row>
    <row r="8" spans="1:13" ht="18" customHeight="1">
      <c r="A8" s="14" t="s">
        <v>47</v>
      </c>
      <c r="B8" s="4"/>
      <c r="C8" s="159"/>
      <c r="D8" s="159">
        <f>+'1.1m(cap)'!D15</f>
        <v>0</v>
      </c>
      <c r="E8" s="159">
        <f>+'1.1m(cap)'!E15</f>
        <v>0</v>
      </c>
      <c r="F8" s="159">
        <f>+'1.1m(cap)'!F15</f>
        <v>0</v>
      </c>
      <c r="G8" s="159">
        <f>+'1.1m(cap)'!G15</f>
        <v>0</v>
      </c>
      <c r="H8" s="159">
        <v>1</v>
      </c>
      <c r="I8" s="159">
        <f>+'1.1m(cap)'!I15</f>
        <v>46.25</v>
      </c>
      <c r="J8" s="159">
        <f>+'1.1m(cap)'!J15</f>
        <v>50.88</v>
      </c>
      <c r="K8" s="159">
        <f>+'1.1m(cap)'!K15</f>
        <v>55.96</v>
      </c>
      <c r="L8" s="159">
        <f>+'1.1m(cap)'!L15</f>
        <v>61.56</v>
      </c>
      <c r="M8" s="159">
        <f>+'1.1m(cap)'!M15</f>
        <v>67.72</v>
      </c>
    </row>
    <row r="9" spans="1:13" ht="18" customHeight="1">
      <c r="A9" s="15" t="s">
        <v>48</v>
      </c>
      <c r="B9" s="4"/>
      <c r="C9" s="9"/>
      <c r="D9" s="9">
        <v>47.79</v>
      </c>
      <c r="E9" s="9">
        <v>50.86</v>
      </c>
      <c r="F9" s="9">
        <v>64.239999999999995</v>
      </c>
      <c r="G9" s="9" t="e">
        <f>1445.37/G5/12*100000000/10000</f>
        <v>#DIV/0!</v>
      </c>
      <c r="H9" s="9">
        <v>73.12</v>
      </c>
      <c r="I9" s="9">
        <f>+'1.0'!H17/12/'1c (Rev.)'!I5*10000</f>
        <v>110.05425383311871</v>
      </c>
      <c r="J9" s="9">
        <f>+'1.0'!I17/12/'1c (Rev.)'!J5*10000</f>
        <v>134.185243116788</v>
      </c>
      <c r="K9" s="9">
        <f>+'1.0'!J17/12/'1c (Rev.)'!K5*10000</f>
        <v>158.7065428504639</v>
      </c>
      <c r="L9" s="9">
        <f>+'1.0'!K17/12/'1c (Rev.)'!L5*10000</f>
        <v>169.08748244043477</v>
      </c>
      <c r="M9" s="9">
        <f>+'1.0'!L17/12/'1c (Rev.)'!M5*10000</f>
        <v>168.72125590365502</v>
      </c>
    </row>
    <row r="10" spans="1:13" ht="18" customHeight="1">
      <c r="A10" s="15" t="s">
        <v>424</v>
      </c>
      <c r="B10" s="4"/>
      <c r="C10" s="5"/>
      <c r="D10" s="5">
        <f t="shared" ref="D10:M10" si="1">D9*D5*12/10000</f>
        <v>0</v>
      </c>
      <c r="E10" s="5">
        <f t="shared" si="1"/>
        <v>0</v>
      </c>
      <c r="F10" s="5">
        <f t="shared" si="1"/>
        <v>0</v>
      </c>
      <c r="G10" s="5" t="e">
        <f t="shared" si="1"/>
        <v>#DIV/0!</v>
      </c>
      <c r="H10" s="5">
        <f>(H9*H5*12/10000)+461.82</f>
        <v>1869.847968</v>
      </c>
      <c r="I10" s="5">
        <f t="shared" si="1"/>
        <v>2012.0779011293762</v>
      </c>
      <c r="J10" s="5">
        <f t="shared" si="1"/>
        <v>2828.1842605634952</v>
      </c>
      <c r="K10" s="5">
        <f t="shared" si="1"/>
        <v>3345.9802060862744</v>
      </c>
      <c r="L10" s="5">
        <f t="shared" si="1"/>
        <v>3974.3870714138957</v>
      </c>
      <c r="M10" s="5">
        <f t="shared" si="1"/>
        <v>4274.7737057218228</v>
      </c>
    </row>
    <row r="15" spans="1:13">
      <c r="H15" s="16"/>
    </row>
  </sheetData>
  <mergeCells count="1">
    <mergeCell ref="K2:L2"/>
  </mergeCells>
  <phoneticPr fontId="3" type="noConversion"/>
  <dataValidations count="1">
    <dataValidation type="decimal" allowBlank="1" showInputMessage="1" showErrorMessage="1" sqref="C10:M10">
      <formula1>-10000000000000000</formula1>
      <formula2>100000000000000000</formula2>
    </dataValidation>
  </dataValidations>
  <printOptions horizontalCentered="1"/>
  <pageMargins left="0.26" right="0.2" top="1" bottom="1" header="0.5" footer="0.5"/>
  <pageSetup orientation="landscape" verticalDpi="4294967295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AH35"/>
  <sheetViews>
    <sheetView showGridLines="0" view="pageBreakPreview" topLeftCell="A16" zoomScaleSheetLayoutView="100" workbookViewId="0">
      <selection activeCell="H20" sqref="H20"/>
    </sheetView>
  </sheetViews>
  <sheetFormatPr defaultRowHeight="12.75"/>
  <cols>
    <col min="1" max="1" width="32.28515625" customWidth="1"/>
    <col min="2" max="2" width="8" hidden="1" customWidth="1"/>
    <col min="3" max="5" width="7.5703125" hidden="1" customWidth="1"/>
    <col min="6" max="7" width="8.5703125" hidden="1" customWidth="1"/>
    <col min="8" max="13" width="10.85546875" customWidth="1"/>
    <col min="14" max="14" width="1.7109375" customWidth="1"/>
    <col min="15" max="17" width="10.85546875" hidden="1" customWidth="1"/>
    <col min="18" max="18" width="9.7109375" hidden="1" customWidth="1"/>
    <col min="19" max="19" width="10.5703125" hidden="1" customWidth="1"/>
    <col min="20" max="20" width="12.5703125" hidden="1" customWidth="1"/>
    <col min="21" max="21" width="10.85546875" hidden="1" customWidth="1"/>
    <col min="22" max="22" width="11.28515625" hidden="1" customWidth="1"/>
    <col min="23" max="23" width="12.42578125" hidden="1" customWidth="1"/>
    <col min="24" max="25" width="12" hidden="1" customWidth="1"/>
    <col min="26" max="26" width="1.7109375" hidden="1" customWidth="1"/>
    <col min="27" max="27" width="7.7109375" hidden="1" customWidth="1"/>
    <col min="28" max="29" width="8.28515625" hidden="1" customWidth="1"/>
    <col min="30" max="30" width="9.28515625" hidden="1" customWidth="1"/>
    <col min="31" max="31" width="11.85546875" hidden="1" customWidth="1"/>
    <col min="32" max="51" width="0" hidden="1" customWidth="1"/>
  </cols>
  <sheetData>
    <row r="1" spans="1:34">
      <c r="A1" s="16"/>
    </row>
    <row r="2" spans="1:34">
      <c r="A2" s="242" t="s">
        <v>49</v>
      </c>
      <c r="B2" s="243"/>
      <c r="C2" s="243"/>
      <c r="D2" s="243"/>
      <c r="E2" s="243"/>
      <c r="F2" s="243"/>
      <c r="G2" s="243"/>
      <c r="H2" s="243"/>
      <c r="I2" s="243"/>
      <c r="J2" s="243"/>
      <c r="K2" s="243"/>
      <c r="L2" s="243"/>
      <c r="M2" s="243"/>
    </row>
    <row r="3" spans="1:34">
      <c r="A3" s="244"/>
      <c r="B3" s="243"/>
      <c r="C3" s="243"/>
      <c r="D3" s="243"/>
      <c r="E3" s="243"/>
      <c r="F3" s="243"/>
      <c r="G3" s="243"/>
      <c r="H3" s="243"/>
      <c r="I3" s="243"/>
      <c r="J3" s="280" t="s">
        <v>365</v>
      </c>
      <c r="K3" s="280"/>
      <c r="L3" s="243"/>
      <c r="M3" s="243"/>
    </row>
    <row r="4" spans="1:34" ht="28.5" customHeight="1">
      <c r="A4" s="245" t="s">
        <v>0</v>
      </c>
      <c r="B4" s="245" t="s">
        <v>12</v>
      </c>
      <c r="C4" s="246" t="s">
        <v>17</v>
      </c>
      <c r="D4" s="246" t="s">
        <v>18</v>
      </c>
      <c r="E4" s="246" t="s">
        <v>19</v>
      </c>
      <c r="F4" s="246" t="s">
        <v>20</v>
      </c>
      <c r="G4" s="246" t="s">
        <v>21</v>
      </c>
      <c r="H4" s="247" t="s">
        <v>432</v>
      </c>
      <c r="I4" s="246" t="s">
        <v>433</v>
      </c>
      <c r="J4" s="246" t="s">
        <v>434</v>
      </c>
      <c r="K4" s="246" t="s">
        <v>435</v>
      </c>
      <c r="L4" s="246" t="s">
        <v>436</v>
      </c>
      <c r="M4" s="246" t="s">
        <v>437</v>
      </c>
      <c r="O4" s="215" t="s">
        <v>433</v>
      </c>
      <c r="P4" s="215" t="s">
        <v>434</v>
      </c>
      <c r="Q4" s="215" t="s">
        <v>435</v>
      </c>
      <c r="R4" s="215" t="s">
        <v>436</v>
      </c>
      <c r="S4" s="215" t="s">
        <v>437</v>
      </c>
      <c r="U4" s="103" t="s">
        <v>18</v>
      </c>
      <c r="V4" s="103" t="s">
        <v>19</v>
      </c>
      <c r="W4" s="103" t="s">
        <v>20</v>
      </c>
      <c r="X4" s="103" t="s">
        <v>21</v>
      </c>
      <c r="Y4" s="164" t="s">
        <v>432</v>
      </c>
      <c r="AA4" s="103" t="s">
        <v>18</v>
      </c>
      <c r="AB4" s="103" t="s">
        <v>19</v>
      </c>
      <c r="AC4" s="103" t="s">
        <v>20</v>
      </c>
      <c r="AD4" s="103" t="s">
        <v>21</v>
      </c>
      <c r="AE4" s="164" t="s">
        <v>432</v>
      </c>
    </row>
    <row r="5" spans="1:34" s="62" customFormat="1" ht="17.25" customHeight="1">
      <c r="A5" s="248" t="s">
        <v>71</v>
      </c>
      <c r="B5" s="249"/>
      <c r="C5" s="249"/>
      <c r="D5" s="249"/>
      <c r="E5" s="249"/>
      <c r="F5" s="249"/>
      <c r="G5" s="249"/>
      <c r="H5" s="249"/>
      <c r="I5" s="249"/>
      <c r="J5" s="249"/>
      <c r="K5" s="249"/>
      <c r="L5" s="249"/>
      <c r="M5" s="249"/>
      <c r="O5" s="61"/>
      <c r="P5" s="61"/>
      <c r="Q5" s="61"/>
      <c r="R5" s="61"/>
      <c r="S5" s="61"/>
      <c r="U5" s="61"/>
      <c r="V5" s="61"/>
      <c r="W5" s="61"/>
      <c r="X5" s="61"/>
      <c r="Y5" s="61"/>
      <c r="AA5" s="61"/>
      <c r="AB5" s="61"/>
      <c r="AC5" s="61"/>
      <c r="AD5" s="61"/>
      <c r="AE5" s="61"/>
    </row>
    <row r="6" spans="1:34" s="62" customFormat="1" ht="15" customHeight="1">
      <c r="A6" s="250" t="s">
        <v>50</v>
      </c>
      <c r="B6" s="249"/>
      <c r="C6" s="251">
        <f>+'1.1a(GFA)'!F32</f>
        <v>0</v>
      </c>
      <c r="D6" s="251">
        <f>+'1.1a(GFA)'!F64</f>
        <v>5509.4700000000012</v>
      </c>
      <c r="E6" s="251">
        <f>+'1.1a(GFA)'!F96</f>
        <v>7456.85</v>
      </c>
      <c r="F6" s="251">
        <f>+'1.1a(GFA)'!F128</f>
        <v>9246.0600000000013</v>
      </c>
      <c r="G6" s="251">
        <f>+'1.1a(GFA)'!F160</f>
        <v>11228.259999999998</v>
      </c>
      <c r="H6" s="251">
        <f>+'1.1a(GFA)'!C224</f>
        <v>14825.829999999998</v>
      </c>
      <c r="I6" s="251">
        <f>+'1.1a(GFA)'!F224</f>
        <v>17652.089045060002</v>
      </c>
      <c r="J6" s="251">
        <f>+'1.1a(GFA)'!F256</f>
        <v>19620.378848799406</v>
      </c>
      <c r="K6" s="251">
        <f>+'1.1a(GFA)'!F288</f>
        <v>25723.241054311336</v>
      </c>
      <c r="L6" s="251">
        <f>+'1.1a(GFA)'!F320</f>
        <v>26493.625677162461</v>
      </c>
      <c r="M6" s="251">
        <f>+'1.1a(GFA)'!F352</f>
        <v>31869.750670553232</v>
      </c>
      <c r="O6" s="17">
        <f>+I6-H6</f>
        <v>2826.2590450600037</v>
      </c>
      <c r="P6" s="17">
        <f t="shared" ref="P6:S6" si="0">+J6-I6</f>
        <v>1968.2898037394043</v>
      </c>
      <c r="Q6" s="17">
        <f t="shared" si="0"/>
        <v>6102.8622055119304</v>
      </c>
      <c r="R6" s="17">
        <f t="shared" si="0"/>
        <v>770.38462285112473</v>
      </c>
      <c r="S6" s="17">
        <f t="shared" si="0"/>
        <v>5376.1249933907711</v>
      </c>
      <c r="U6" s="127">
        <v>5573.58</v>
      </c>
      <c r="V6" s="127">
        <v>7521.1</v>
      </c>
      <c r="W6" s="127">
        <v>9323.98</v>
      </c>
      <c r="X6" s="127">
        <v>11309.61</v>
      </c>
      <c r="Y6" s="127">
        <v>14901.57</v>
      </c>
      <c r="AA6" s="127">
        <f t="shared" ref="AA6:AE9" si="1">+U6-D6</f>
        <v>64.109999999998763</v>
      </c>
      <c r="AB6" s="127">
        <f t="shared" si="1"/>
        <v>64.25</v>
      </c>
      <c r="AC6" s="127">
        <f t="shared" si="1"/>
        <v>77.919999999998254</v>
      </c>
      <c r="AD6" s="127">
        <f t="shared" si="1"/>
        <v>81.350000000002183</v>
      </c>
      <c r="AE6" s="127">
        <f t="shared" si="1"/>
        <v>75.740000000001601</v>
      </c>
    </row>
    <row r="7" spans="1:34" s="62" customFormat="1" ht="15" customHeight="1">
      <c r="A7" s="252" t="s">
        <v>505</v>
      </c>
      <c r="B7" s="249"/>
      <c r="C7" s="251">
        <f>+'1.1b (Dep)'!I32</f>
        <v>0</v>
      </c>
      <c r="D7" s="251">
        <f>+'1.1b (Dep)'!I64</f>
        <v>2334.4699999999998</v>
      </c>
      <c r="E7" s="251">
        <f>+'1.1b (Dep)'!I96</f>
        <v>2624.41</v>
      </c>
      <c r="F7" s="251">
        <f>+'1.1b (Dep)'!I128</f>
        <v>3055.3399999999997</v>
      </c>
      <c r="G7" s="251">
        <f>+'1.1b (Dep)'!I160</f>
        <v>3639.7900000000004</v>
      </c>
      <c r="H7" s="251">
        <f>+'1.1b (Dep)'!B224</f>
        <v>4378.95</v>
      </c>
      <c r="I7" s="251">
        <f>+'1.1b (Dep)'!I224</f>
        <v>5278.6140008977645</v>
      </c>
      <c r="J7" s="251">
        <f>+'1.1b (Dep)'!I256</f>
        <v>6310.9665081784278</v>
      </c>
      <c r="K7" s="251">
        <f>+'1.1b (Dep)'!I288</f>
        <v>7588.1092562185977</v>
      </c>
      <c r="L7" s="251">
        <f>+'1.1b (Dep)'!I320</f>
        <v>9070.3907338578247</v>
      </c>
      <c r="M7" s="251">
        <f>+'1.1b (Dep)'!I352</f>
        <v>10736.750449154564</v>
      </c>
      <c r="O7" s="17">
        <f t="shared" ref="O7:O17" si="2">+I7-H7</f>
        <v>899.66400089776471</v>
      </c>
      <c r="P7" s="17">
        <f t="shared" ref="P7:P17" si="3">+J7-I7</f>
        <v>1032.3525072806633</v>
      </c>
      <c r="Q7" s="17">
        <f t="shared" ref="Q7:Q17" si="4">+K7-J7</f>
        <v>1277.1427480401699</v>
      </c>
      <c r="R7" s="17">
        <f t="shared" ref="R7:R17" si="5">+L7-K7</f>
        <v>1482.281477639227</v>
      </c>
      <c r="S7" s="17">
        <f t="shared" ref="S7:S17" si="6">+M7-L7</f>
        <v>1666.3597152967395</v>
      </c>
      <c r="U7" s="127">
        <v>2390.56</v>
      </c>
      <c r="V7" s="127">
        <v>2680.83</v>
      </c>
      <c r="W7" s="127">
        <v>3112.11</v>
      </c>
      <c r="X7" s="127">
        <v>3700.56</v>
      </c>
      <c r="Y7" s="127">
        <v>4440.33</v>
      </c>
      <c r="AA7" s="127">
        <f t="shared" si="1"/>
        <v>56.090000000000146</v>
      </c>
      <c r="AB7" s="127">
        <f t="shared" si="1"/>
        <v>56.420000000000073</v>
      </c>
      <c r="AC7" s="127">
        <f t="shared" si="1"/>
        <v>56.770000000000437</v>
      </c>
      <c r="AD7" s="127">
        <f t="shared" si="1"/>
        <v>60.769999999999527</v>
      </c>
      <c r="AE7" s="127">
        <f t="shared" si="1"/>
        <v>61.380000000000109</v>
      </c>
    </row>
    <row r="8" spans="1:34" s="62" customFormat="1" ht="15" customHeight="1">
      <c r="A8" s="252" t="s">
        <v>51</v>
      </c>
      <c r="B8" s="253"/>
      <c r="C8" s="254">
        <f>+C6-C7</f>
        <v>0</v>
      </c>
      <c r="D8" s="254">
        <f t="shared" ref="D8:M8" si="7">+D6-D7</f>
        <v>3175.0000000000014</v>
      </c>
      <c r="E8" s="254">
        <f t="shared" si="7"/>
        <v>4832.4400000000005</v>
      </c>
      <c r="F8" s="254">
        <f t="shared" si="7"/>
        <v>6190.7200000000012</v>
      </c>
      <c r="G8" s="254">
        <f t="shared" si="7"/>
        <v>7588.4699999999975</v>
      </c>
      <c r="H8" s="254">
        <f t="shared" si="7"/>
        <v>10446.879999999997</v>
      </c>
      <c r="I8" s="254">
        <f t="shared" si="7"/>
        <v>12373.475044162238</v>
      </c>
      <c r="J8" s="254">
        <f t="shared" si="7"/>
        <v>13309.412340620978</v>
      </c>
      <c r="K8" s="254">
        <f t="shared" si="7"/>
        <v>18135.131798092738</v>
      </c>
      <c r="L8" s="254">
        <f t="shared" si="7"/>
        <v>17423.234943304637</v>
      </c>
      <c r="M8" s="254">
        <f t="shared" si="7"/>
        <v>21133.000221398666</v>
      </c>
      <c r="O8" s="136">
        <f t="shared" si="2"/>
        <v>1926.5950441622408</v>
      </c>
      <c r="P8" s="136">
        <f t="shared" si="3"/>
        <v>935.93729645874009</v>
      </c>
      <c r="Q8" s="136">
        <f t="shared" si="4"/>
        <v>4825.7194574717596</v>
      </c>
      <c r="R8" s="136">
        <f t="shared" si="5"/>
        <v>-711.89685478810134</v>
      </c>
      <c r="S8" s="136">
        <f t="shared" si="6"/>
        <v>3709.7652780940298</v>
      </c>
      <c r="U8" s="160">
        <f t="shared" ref="U8:Y8" si="8">+U6-U7</f>
        <v>3183.02</v>
      </c>
      <c r="V8" s="160">
        <f t="shared" si="8"/>
        <v>4840.2700000000004</v>
      </c>
      <c r="W8" s="160">
        <f t="shared" si="8"/>
        <v>6211.869999999999</v>
      </c>
      <c r="X8" s="160">
        <f t="shared" si="8"/>
        <v>7609.0500000000011</v>
      </c>
      <c r="Y8" s="160">
        <f t="shared" si="8"/>
        <v>10461.24</v>
      </c>
      <c r="Z8" s="137"/>
      <c r="AA8" s="160">
        <f t="shared" si="1"/>
        <v>8.0199999999986176</v>
      </c>
      <c r="AB8" s="160">
        <f t="shared" si="1"/>
        <v>7.8299999999999272</v>
      </c>
      <c r="AC8" s="160">
        <f t="shared" si="1"/>
        <v>21.149999999997817</v>
      </c>
      <c r="AD8" s="160">
        <f t="shared" si="1"/>
        <v>20.580000000003565</v>
      </c>
      <c r="AE8" s="160">
        <f t="shared" si="1"/>
        <v>14.360000000002401</v>
      </c>
    </row>
    <row r="9" spans="1:34" s="62" customFormat="1" ht="15" customHeight="1">
      <c r="A9" s="255" t="s">
        <v>52</v>
      </c>
      <c r="B9" s="249"/>
      <c r="C9" s="251">
        <f>+'1.1c(CWIP)'!C15</f>
        <v>0</v>
      </c>
      <c r="D9" s="251">
        <f>+'1.1c(CWIP)'!D15</f>
        <v>2269.0500000000002</v>
      </c>
      <c r="E9" s="251">
        <f>+'1.1c(CWIP)'!E15</f>
        <v>2022.1000000000001</v>
      </c>
      <c r="F9" s="251">
        <f>+'1.1c(CWIP)'!F15</f>
        <v>2757.42</v>
      </c>
      <c r="G9" s="251">
        <f>+'1.1c(CWIP)'!G15</f>
        <v>3759.9000000000005</v>
      </c>
      <c r="H9" s="251">
        <f>+'1.1c(CWIP)'!H15</f>
        <v>3709.7400000000007</v>
      </c>
      <c r="I9" s="251">
        <f>+'1.1c(CWIP)'!I15</f>
        <v>4405.1493896622251</v>
      </c>
      <c r="J9" s="251">
        <f>+'1.1c(CWIP)'!J15</f>
        <v>6405.0560266172652</v>
      </c>
      <c r="K9" s="251">
        <f>+'1.1c(CWIP)'!K15</f>
        <v>3423.1201622164444</v>
      </c>
      <c r="L9" s="251">
        <f>+'1.1c(CWIP)'!L15</f>
        <v>4322.3072262819851</v>
      </c>
      <c r="M9" s="251">
        <f>+'1.1c(CWIP)'!M15</f>
        <v>344.09207831899039</v>
      </c>
      <c r="O9" s="17">
        <f t="shared" si="2"/>
        <v>695.40938966222438</v>
      </c>
      <c r="P9" s="17">
        <f t="shared" si="3"/>
        <v>1999.9066369550401</v>
      </c>
      <c r="Q9" s="17">
        <f t="shared" si="4"/>
        <v>-2981.9358644008207</v>
      </c>
      <c r="R9" s="17">
        <f t="shared" si="5"/>
        <v>899.18706406554065</v>
      </c>
      <c r="S9" s="17">
        <f t="shared" si="6"/>
        <v>-3978.2151479629947</v>
      </c>
      <c r="U9" s="161">
        <v>2269.0500000000002</v>
      </c>
      <c r="V9" s="161">
        <v>2025.15</v>
      </c>
      <c r="W9" s="161">
        <f>2589.26+170.82</f>
        <v>2760.0800000000004</v>
      </c>
      <c r="X9" s="161">
        <f>3635.98+123.92</f>
        <v>3759.9</v>
      </c>
      <c r="Y9" s="161">
        <f>3613.92+96.86</f>
        <v>3710.78</v>
      </c>
      <c r="AA9" s="202">
        <f t="shared" si="1"/>
        <v>0</v>
      </c>
      <c r="AB9" s="161">
        <f t="shared" si="1"/>
        <v>3.0499999999999545</v>
      </c>
      <c r="AC9" s="202">
        <f t="shared" si="1"/>
        <v>2.6600000000003092</v>
      </c>
      <c r="AD9" s="202">
        <f t="shared" si="1"/>
        <v>0</v>
      </c>
      <c r="AE9" s="202">
        <f t="shared" si="1"/>
        <v>1.0399999999995089</v>
      </c>
    </row>
    <row r="10" spans="1:34" s="62" customFormat="1" ht="15" customHeight="1">
      <c r="A10" s="250" t="s">
        <v>53</v>
      </c>
      <c r="B10" s="249"/>
      <c r="C10" s="249"/>
      <c r="D10" s="249"/>
      <c r="E10" s="249"/>
      <c r="F10" s="249"/>
      <c r="G10" s="249"/>
      <c r="H10" s="249"/>
      <c r="I10" s="249"/>
      <c r="J10" s="249"/>
      <c r="K10" s="249"/>
      <c r="L10" s="249"/>
      <c r="M10" s="249"/>
      <c r="O10" s="17"/>
      <c r="P10" s="17"/>
      <c r="Q10" s="17"/>
      <c r="R10" s="17"/>
      <c r="S10" s="17"/>
      <c r="U10" s="161"/>
      <c r="V10" s="161"/>
      <c r="W10" s="161"/>
      <c r="X10" s="161"/>
      <c r="Y10" s="161"/>
      <c r="AA10" s="161"/>
      <c r="AB10" s="161"/>
      <c r="AC10" s="161"/>
      <c r="AD10" s="161"/>
      <c r="AE10" s="161"/>
    </row>
    <row r="11" spans="1:34" s="62" customFormat="1" ht="15" customHeight="1">
      <c r="A11" s="255" t="s">
        <v>54</v>
      </c>
      <c r="B11" s="249"/>
      <c r="C11" s="251">
        <v>0</v>
      </c>
      <c r="D11" s="249">
        <v>388.98</v>
      </c>
      <c r="E11" s="249">
        <v>373.09</v>
      </c>
      <c r="F11" s="249">
        <v>371.15</v>
      </c>
      <c r="G11" s="249">
        <v>373.31</v>
      </c>
      <c r="H11" s="251">
        <f>+G11</f>
        <v>373.31</v>
      </c>
      <c r="I11" s="251">
        <f>373.31-15.45</f>
        <v>357.86</v>
      </c>
      <c r="J11" s="251">
        <f t="shared" ref="J11:M11" si="9">+I11</f>
        <v>357.86</v>
      </c>
      <c r="K11" s="251">
        <f t="shared" si="9"/>
        <v>357.86</v>
      </c>
      <c r="L11" s="251">
        <f t="shared" si="9"/>
        <v>357.86</v>
      </c>
      <c r="M11" s="251">
        <f t="shared" si="9"/>
        <v>357.86</v>
      </c>
      <c r="O11" s="17">
        <f>+I11-H11</f>
        <v>-15.449999999999989</v>
      </c>
      <c r="P11" s="17">
        <f t="shared" ref="P11:S11" si="10">+J11-I11</f>
        <v>0</v>
      </c>
      <c r="Q11" s="17">
        <f t="shared" si="10"/>
        <v>0</v>
      </c>
      <c r="R11" s="17">
        <f t="shared" si="10"/>
        <v>0</v>
      </c>
      <c r="S11" s="17">
        <f t="shared" si="10"/>
        <v>0</v>
      </c>
      <c r="U11" s="162">
        <v>388.98</v>
      </c>
      <c r="V11" s="162">
        <v>373.09</v>
      </c>
      <c r="W11" s="162">
        <v>371.15</v>
      </c>
      <c r="X11" s="162">
        <v>373.31</v>
      </c>
      <c r="Y11" s="161">
        <v>373.31</v>
      </c>
      <c r="AA11" s="202">
        <f t="shared" ref="AA11:AE13" si="11">+U11-D11</f>
        <v>0</v>
      </c>
      <c r="AB11" s="202">
        <f t="shared" si="11"/>
        <v>0</v>
      </c>
      <c r="AC11" s="202">
        <f t="shared" si="11"/>
        <v>0</v>
      </c>
      <c r="AD11" s="202">
        <f t="shared" si="11"/>
        <v>0</v>
      </c>
      <c r="AE11" s="202">
        <f t="shared" si="11"/>
        <v>0</v>
      </c>
    </row>
    <row r="12" spans="1:34" s="62" customFormat="1" ht="15" customHeight="1">
      <c r="A12" s="252" t="s">
        <v>55</v>
      </c>
      <c r="B12" s="249"/>
      <c r="C12" s="254">
        <f>+C13+C14+C15+C16+C17</f>
        <v>0</v>
      </c>
      <c r="D12" s="254">
        <f t="shared" ref="D12:M12" si="12">+D13+D14+D15+D16+D17</f>
        <v>1640.6600000000003</v>
      </c>
      <c r="E12" s="254">
        <f t="shared" si="12"/>
        <v>2014.39</v>
      </c>
      <c r="F12" s="254">
        <f t="shared" si="12"/>
        <v>2687.34</v>
      </c>
      <c r="G12" s="254">
        <f t="shared" si="12"/>
        <v>4077.25</v>
      </c>
      <c r="H12" s="254">
        <f t="shared" si="12"/>
        <v>3823.3100000000004</v>
      </c>
      <c r="I12" s="254">
        <f t="shared" si="12"/>
        <v>2670.5200000000004</v>
      </c>
      <c r="J12" s="254">
        <f t="shared" si="12"/>
        <v>2765.7200000000003</v>
      </c>
      <c r="K12" s="254">
        <f t="shared" si="12"/>
        <v>2672.92</v>
      </c>
      <c r="L12" s="254">
        <f t="shared" si="12"/>
        <v>2830</v>
      </c>
      <c r="M12" s="254">
        <f t="shared" si="12"/>
        <v>3010</v>
      </c>
      <c r="O12" s="136">
        <f t="shared" si="2"/>
        <v>-1152.79</v>
      </c>
      <c r="P12" s="136">
        <f t="shared" si="3"/>
        <v>95.199999999999818</v>
      </c>
      <c r="Q12" s="136">
        <f t="shared" si="4"/>
        <v>-92.800000000000182</v>
      </c>
      <c r="R12" s="136">
        <f t="shared" si="5"/>
        <v>157.07999999999993</v>
      </c>
      <c r="S12" s="136">
        <f t="shared" si="6"/>
        <v>180</v>
      </c>
      <c r="U12" s="160">
        <f t="shared" ref="U12:Y12" si="13">+U13+U14+U15+U16+U17</f>
        <v>1640.67</v>
      </c>
      <c r="V12" s="160">
        <f t="shared" si="13"/>
        <v>2014.3700000000001</v>
      </c>
      <c r="W12" s="160">
        <f t="shared" si="13"/>
        <v>2687.34</v>
      </c>
      <c r="X12" s="160">
        <f t="shared" si="13"/>
        <v>3721.11</v>
      </c>
      <c r="Y12" s="160">
        <f t="shared" si="13"/>
        <v>3467.5099999999998</v>
      </c>
      <c r="AA12" s="160">
        <f t="shared" si="11"/>
        <v>9.9999999997635314E-3</v>
      </c>
      <c r="AB12" s="160">
        <f t="shared" si="11"/>
        <v>-1.999999999998181E-2</v>
      </c>
      <c r="AC12" s="160">
        <f t="shared" si="11"/>
        <v>0</v>
      </c>
      <c r="AD12" s="160">
        <f t="shared" si="11"/>
        <v>-356.13999999999987</v>
      </c>
      <c r="AE12" s="160">
        <f t="shared" si="11"/>
        <v>-355.80000000000064</v>
      </c>
    </row>
    <row r="13" spans="1:34" s="62" customFormat="1" ht="15" customHeight="1">
      <c r="A13" s="256" t="s">
        <v>56</v>
      </c>
      <c r="B13" s="249"/>
      <c r="C13" s="251">
        <f>+'1.1j(CA)'!C6</f>
        <v>0</v>
      </c>
      <c r="D13" s="251">
        <f>+'1.1j(CA)'!D6</f>
        <v>224.34</v>
      </c>
      <c r="E13" s="251">
        <f>+'1.1j(CA)'!E6</f>
        <v>189.7</v>
      </c>
      <c r="F13" s="251">
        <f>+'1.1j(CA)'!F6</f>
        <v>85.04000000000002</v>
      </c>
      <c r="G13" s="251">
        <f>+'1.1j(CA)'!G6</f>
        <v>148.77000000000001</v>
      </c>
      <c r="H13" s="251">
        <f>+'1.1j(CA)'!H6</f>
        <v>148.22</v>
      </c>
      <c r="I13" s="251">
        <f>+'1.1j(CA)'!I6</f>
        <v>150</v>
      </c>
      <c r="J13" s="251">
        <f>+'1.1j(CA)'!J6</f>
        <v>160</v>
      </c>
      <c r="K13" s="251">
        <f>+'1.1j(CA)'!K6</f>
        <v>170</v>
      </c>
      <c r="L13" s="251">
        <f>+'1.1j(CA)'!L6</f>
        <v>180</v>
      </c>
      <c r="M13" s="251">
        <f>+'1.1j(CA)'!M6</f>
        <v>200</v>
      </c>
      <c r="O13" s="17">
        <f t="shared" si="2"/>
        <v>1.7800000000000011</v>
      </c>
      <c r="P13" s="17">
        <f t="shared" si="3"/>
        <v>10</v>
      </c>
      <c r="Q13" s="17">
        <f t="shared" si="4"/>
        <v>10</v>
      </c>
      <c r="R13" s="17">
        <f t="shared" si="5"/>
        <v>10</v>
      </c>
      <c r="S13" s="17">
        <f t="shared" si="6"/>
        <v>20</v>
      </c>
      <c r="U13" s="161">
        <v>224.34</v>
      </c>
      <c r="V13" s="161">
        <v>189.7</v>
      </c>
      <c r="W13" s="161">
        <f>255.86-170.82</f>
        <v>85.04000000000002</v>
      </c>
      <c r="X13" s="161">
        <f>272.69-123.92</f>
        <v>148.76999999999998</v>
      </c>
      <c r="Y13" s="161">
        <v>148.01</v>
      </c>
      <c r="AA13" s="202">
        <f t="shared" si="11"/>
        <v>0</v>
      </c>
      <c r="AB13" s="202">
        <f t="shared" si="11"/>
        <v>0</v>
      </c>
      <c r="AC13" s="202">
        <f t="shared" si="11"/>
        <v>0</v>
      </c>
      <c r="AD13" s="202">
        <f t="shared" si="11"/>
        <v>0</v>
      </c>
      <c r="AE13" s="202">
        <f t="shared" si="11"/>
        <v>-0.21000000000000796</v>
      </c>
      <c r="AF13" s="137"/>
      <c r="AG13" s="137"/>
      <c r="AH13" s="137"/>
    </row>
    <row r="14" spans="1:34" s="62" customFormat="1" ht="15" customHeight="1">
      <c r="A14" s="256" t="s">
        <v>57</v>
      </c>
      <c r="B14" s="249"/>
      <c r="C14" s="251">
        <f>+'1.1j(CA)'!C7</f>
        <v>0</v>
      </c>
      <c r="D14" s="251">
        <f>+'1.1j(CA)'!D7</f>
        <v>258.86</v>
      </c>
      <c r="E14" s="251">
        <f>+'1.1j(CA)'!E7</f>
        <v>521.26</v>
      </c>
      <c r="F14" s="251">
        <f>+'1.1j(CA)'!F7</f>
        <v>1225.22</v>
      </c>
      <c r="G14" s="251">
        <f>+'1.1j(CA)'!G7</f>
        <v>809.06</v>
      </c>
      <c r="H14" s="251">
        <f>+'1.1j(CA)'!H7</f>
        <v>449.89</v>
      </c>
      <c r="I14" s="251">
        <f>+'1.1j(CA)'!I7</f>
        <v>400</v>
      </c>
      <c r="J14" s="251">
        <f>+'1.1j(CA)'!J7</f>
        <v>450</v>
      </c>
      <c r="K14" s="251">
        <f>+'1.1j(CA)'!K7</f>
        <v>500</v>
      </c>
      <c r="L14" s="251">
        <f>+'1.1j(CA)'!L7</f>
        <v>550</v>
      </c>
      <c r="M14" s="251">
        <f>+'1.1j(CA)'!M7</f>
        <v>600</v>
      </c>
      <c r="O14" s="17">
        <f t="shared" si="2"/>
        <v>-49.889999999999986</v>
      </c>
      <c r="P14" s="17">
        <f t="shared" si="3"/>
        <v>50</v>
      </c>
      <c r="Q14" s="17">
        <f t="shared" si="4"/>
        <v>50</v>
      </c>
      <c r="R14" s="17">
        <f t="shared" si="5"/>
        <v>50</v>
      </c>
      <c r="S14" s="17">
        <f t="shared" si="6"/>
        <v>50</v>
      </c>
      <c r="U14" s="161">
        <v>258.86</v>
      </c>
      <c r="V14" s="161">
        <v>521.26</v>
      </c>
      <c r="W14" s="161">
        <v>1225.22</v>
      </c>
      <c r="X14" s="161">
        <v>811.69</v>
      </c>
      <c r="Y14" s="161">
        <v>452.51</v>
      </c>
      <c r="AA14" s="202">
        <f>+U14-D14</f>
        <v>0</v>
      </c>
      <c r="AB14" s="202">
        <f t="shared" ref="AB14" si="14">+V14-E14</f>
        <v>0</v>
      </c>
      <c r="AC14" s="202">
        <f t="shared" ref="AC14" si="15">+W14-F14</f>
        <v>0</v>
      </c>
      <c r="AD14" s="202">
        <f t="shared" ref="AD14" si="16">+X14-G14</f>
        <v>2.6300000000001091</v>
      </c>
      <c r="AE14" s="202">
        <f t="shared" ref="AE14" si="17">+Y14-H14</f>
        <v>2.6200000000000045</v>
      </c>
    </row>
    <row r="15" spans="1:34" s="62" customFormat="1" ht="15" customHeight="1">
      <c r="A15" s="256" t="s">
        <v>58</v>
      </c>
      <c r="B15" s="249"/>
      <c r="C15" s="251">
        <f>+'1.1j(CA)'!C8</f>
        <v>0</v>
      </c>
      <c r="D15" s="251">
        <f>+'1.1j(CA)'!D8</f>
        <v>47.9</v>
      </c>
      <c r="E15" s="251">
        <f>+'1.1j(CA)'!E8</f>
        <v>44.96</v>
      </c>
      <c r="F15" s="251">
        <f>+'1.1j(CA)'!F8</f>
        <v>65.7</v>
      </c>
      <c r="G15" s="251">
        <f>+'1.1j(CA)'!G8</f>
        <v>105.69</v>
      </c>
      <c r="H15" s="251">
        <f>+'1.1j(CA)'!H8</f>
        <v>110.82</v>
      </c>
      <c r="I15" s="251">
        <f>+'1.1j(CA)'!I8</f>
        <v>120</v>
      </c>
      <c r="J15" s="251">
        <f>+'1.1j(CA)'!J8</f>
        <v>130</v>
      </c>
      <c r="K15" s="251">
        <f>+'1.1j(CA)'!K8</f>
        <v>140</v>
      </c>
      <c r="L15" s="251">
        <f>+'1.1j(CA)'!L8</f>
        <v>150</v>
      </c>
      <c r="M15" s="251">
        <f>+'1.1j(CA)'!M8</f>
        <v>160</v>
      </c>
      <c r="O15" s="17">
        <f t="shared" si="2"/>
        <v>9.1800000000000068</v>
      </c>
      <c r="P15" s="17">
        <f t="shared" si="3"/>
        <v>10</v>
      </c>
      <c r="Q15" s="17">
        <f t="shared" si="4"/>
        <v>10</v>
      </c>
      <c r="R15" s="17">
        <f t="shared" si="5"/>
        <v>10</v>
      </c>
      <c r="S15" s="17">
        <f t="shared" si="6"/>
        <v>10</v>
      </c>
      <c r="U15" s="161">
        <v>47.9</v>
      </c>
      <c r="V15" s="161">
        <v>44.96</v>
      </c>
      <c r="W15" s="161">
        <v>65.7</v>
      </c>
      <c r="X15" s="161">
        <v>105.76</v>
      </c>
      <c r="Y15" s="161">
        <v>110.92</v>
      </c>
      <c r="AA15" s="202">
        <f>+U15-D15</f>
        <v>0</v>
      </c>
      <c r="AB15" s="202">
        <f t="shared" ref="AB15:AE17" si="18">+V15-E15</f>
        <v>0</v>
      </c>
      <c r="AC15" s="202">
        <f t="shared" si="18"/>
        <v>0</v>
      </c>
      <c r="AD15" s="202">
        <f t="shared" si="18"/>
        <v>7.000000000000739E-2</v>
      </c>
      <c r="AE15" s="202">
        <f t="shared" si="18"/>
        <v>0.10000000000000853</v>
      </c>
    </row>
    <row r="16" spans="1:34" s="62" customFormat="1" ht="15" customHeight="1">
      <c r="A16" s="256" t="s">
        <v>59</v>
      </c>
      <c r="B16" s="249"/>
      <c r="C16" s="251">
        <f>+'1.1j(CA)'!C9</f>
        <v>0</v>
      </c>
      <c r="D16" s="251">
        <f>+'1.1j(CA)'!D9</f>
        <v>1066.1400000000001</v>
      </c>
      <c r="E16" s="251">
        <f>+'1.1j(CA)'!E9</f>
        <v>1142.5</v>
      </c>
      <c r="F16" s="251">
        <f>+'1.1j(CA)'!F9</f>
        <v>1150.97</v>
      </c>
      <c r="G16" s="251">
        <f>+'1.1j(CA)'!G9</f>
        <v>2369.77</v>
      </c>
      <c r="H16" s="251">
        <f>+'1.1j(CA)'!H9</f>
        <v>2357.8000000000002</v>
      </c>
      <c r="I16" s="251">
        <f>+'1.1j(CA)'!I9</f>
        <v>1434.8000000000002</v>
      </c>
      <c r="J16" s="251">
        <f>+'1.1j(CA)'!J9</f>
        <v>1500</v>
      </c>
      <c r="K16" s="251">
        <f>+'1.1j(CA)'!K9</f>
        <v>1550</v>
      </c>
      <c r="L16" s="251">
        <f>+'1.1j(CA)'!L9</f>
        <v>1600</v>
      </c>
      <c r="M16" s="251">
        <f>+'1.1j(CA)'!M9</f>
        <v>1650</v>
      </c>
      <c r="O16" s="17">
        <f t="shared" si="2"/>
        <v>-923</v>
      </c>
      <c r="P16" s="17">
        <f t="shared" si="3"/>
        <v>65.199999999999818</v>
      </c>
      <c r="Q16" s="17">
        <f t="shared" si="4"/>
        <v>50</v>
      </c>
      <c r="R16" s="17">
        <f t="shared" si="5"/>
        <v>50</v>
      </c>
      <c r="S16" s="17">
        <f t="shared" si="6"/>
        <v>50</v>
      </c>
      <c r="U16" s="161">
        <v>1066.1500000000001</v>
      </c>
      <c r="V16" s="161">
        <f>1036.16+106.34-0.02</f>
        <v>1142.48</v>
      </c>
      <c r="W16" s="161">
        <f>4.64+1117.93+28.4</f>
        <v>1150.9700000000003</v>
      </c>
      <c r="X16" s="161">
        <f>964.92+1004.71+33.61+292.8</f>
        <v>2296.04</v>
      </c>
      <c r="Y16" s="161">
        <v>1897.59</v>
      </c>
      <c r="AA16" s="202">
        <f>+U16-D16</f>
        <v>9.9999999999909051E-3</v>
      </c>
      <c r="AB16" s="202">
        <f t="shared" si="18"/>
        <v>-1.999999999998181E-2</v>
      </c>
      <c r="AC16" s="202">
        <f t="shared" si="18"/>
        <v>0</v>
      </c>
      <c r="AD16" s="202">
        <f t="shared" si="18"/>
        <v>-73.730000000000018</v>
      </c>
      <c r="AE16" s="161">
        <f t="shared" si="18"/>
        <v>-460.21000000000026</v>
      </c>
    </row>
    <row r="17" spans="1:31" s="62" customFormat="1" ht="15" customHeight="1">
      <c r="A17" s="256" t="s">
        <v>60</v>
      </c>
      <c r="B17" s="249"/>
      <c r="C17" s="251">
        <f>+'1.1j(CA)'!C10</f>
        <v>0</v>
      </c>
      <c r="D17" s="251">
        <f>+'1.1j(CA)'!D10</f>
        <v>43.42</v>
      </c>
      <c r="E17" s="251">
        <f>+'1.1j(CA)'!E10</f>
        <v>115.97</v>
      </c>
      <c r="F17" s="251">
        <f>+'1.1j(CA)'!F10</f>
        <v>160.41</v>
      </c>
      <c r="G17" s="251">
        <f>+'1.1j(CA)'!G10</f>
        <v>643.96</v>
      </c>
      <c r="H17" s="251">
        <f>+'1.1j(CA)'!H10</f>
        <v>756.58</v>
      </c>
      <c r="I17" s="251">
        <f>+'1.1j(CA)'!I10</f>
        <v>565.72</v>
      </c>
      <c r="J17" s="251">
        <f>+'1.1j(CA)'!J10</f>
        <v>525.72</v>
      </c>
      <c r="K17" s="251">
        <f>+'1.1j(CA)'!K10</f>
        <v>312.92</v>
      </c>
      <c r="L17" s="251">
        <f>+'1.1j(CA)'!L10</f>
        <v>350</v>
      </c>
      <c r="M17" s="251">
        <f>+'1.1j(CA)'!M10</f>
        <v>400</v>
      </c>
      <c r="O17" s="17">
        <f t="shared" si="2"/>
        <v>-190.86</v>
      </c>
      <c r="P17" s="17">
        <f t="shared" si="3"/>
        <v>-40</v>
      </c>
      <c r="Q17" s="17">
        <f t="shared" si="4"/>
        <v>-212.8</v>
      </c>
      <c r="R17" s="17">
        <f t="shared" si="5"/>
        <v>37.079999999999984</v>
      </c>
      <c r="S17" s="17">
        <f t="shared" si="6"/>
        <v>50</v>
      </c>
      <c r="U17" s="161">
        <v>43.42</v>
      </c>
      <c r="V17" s="161">
        <v>115.97</v>
      </c>
      <c r="W17" s="161">
        <f>58.1+89.12+13.19</f>
        <v>160.41</v>
      </c>
      <c r="X17" s="161">
        <f>342.59+16.26</f>
        <v>358.84999999999997</v>
      </c>
      <c r="Y17" s="161">
        <f>34.42+449.76+10.43+292.8+71.07</f>
        <v>858.48</v>
      </c>
      <c r="AA17" s="202">
        <f>+U17-D17</f>
        <v>0</v>
      </c>
      <c r="AB17" s="202">
        <f t="shared" si="18"/>
        <v>0</v>
      </c>
      <c r="AC17" s="202">
        <f t="shared" si="18"/>
        <v>0</v>
      </c>
      <c r="AD17" s="202">
        <f t="shared" si="18"/>
        <v>-285.11000000000007</v>
      </c>
      <c r="AE17" s="161">
        <f t="shared" si="18"/>
        <v>101.89999999999998</v>
      </c>
    </row>
    <row r="18" spans="1:31" s="62" customFormat="1" ht="15" customHeight="1">
      <c r="A18" s="250" t="s">
        <v>61</v>
      </c>
      <c r="B18" s="249"/>
      <c r="C18" s="249"/>
      <c r="D18" s="257">
        <v>0</v>
      </c>
      <c r="E18" s="257">
        <v>0</v>
      </c>
      <c r="F18" s="257">
        <v>0</v>
      </c>
      <c r="G18" s="257">
        <v>0</v>
      </c>
      <c r="H18" s="257">
        <v>0</v>
      </c>
      <c r="I18" s="257">
        <v>0</v>
      </c>
      <c r="J18" s="257">
        <v>0</v>
      </c>
      <c r="K18" s="257">
        <v>0</v>
      </c>
      <c r="L18" s="257">
        <v>0</v>
      </c>
      <c r="M18" s="257">
        <v>0</v>
      </c>
      <c r="N18" s="205"/>
      <c r="O18" s="17"/>
      <c r="P18" s="17"/>
      <c r="Q18" s="17"/>
      <c r="R18" s="17"/>
      <c r="S18" s="17"/>
      <c r="T18" s="205"/>
      <c r="U18" s="202">
        <v>0</v>
      </c>
      <c r="V18" s="202">
        <v>0</v>
      </c>
      <c r="W18" s="202">
        <v>0</v>
      </c>
      <c r="X18" s="202">
        <v>0</v>
      </c>
      <c r="Y18" s="202">
        <v>0</v>
      </c>
      <c r="AA18" s="203">
        <f t="shared" ref="AA18:AA19" si="19">+U18-D18</f>
        <v>0</v>
      </c>
      <c r="AB18" s="203">
        <f t="shared" ref="AB18:AB19" si="20">+V18-E18</f>
        <v>0</v>
      </c>
      <c r="AC18" s="203">
        <f t="shared" ref="AC18:AC19" si="21">+W18-F18</f>
        <v>0</v>
      </c>
      <c r="AD18" s="203">
        <f t="shared" ref="AD18:AD19" si="22">+X18-G18</f>
        <v>0</v>
      </c>
      <c r="AE18" s="203">
        <f t="shared" ref="AE18:AE19" si="23">+Y18-H18</f>
        <v>0</v>
      </c>
    </row>
    <row r="19" spans="1:31" s="62" customFormat="1" ht="15" customHeight="1">
      <c r="A19" s="250" t="s">
        <v>62</v>
      </c>
      <c r="B19" s="249"/>
      <c r="C19" s="249"/>
      <c r="D19" s="257">
        <v>0</v>
      </c>
      <c r="E19" s="257">
        <v>0</v>
      </c>
      <c r="F19" s="257">
        <v>0</v>
      </c>
      <c r="G19" s="257">
        <v>0</v>
      </c>
      <c r="H19" s="257">
        <v>0</v>
      </c>
      <c r="I19" s="257">
        <v>0</v>
      </c>
      <c r="J19" s="257">
        <v>0</v>
      </c>
      <c r="K19" s="257">
        <v>0</v>
      </c>
      <c r="L19" s="257">
        <v>0</v>
      </c>
      <c r="M19" s="257">
        <v>0</v>
      </c>
      <c r="N19" s="205"/>
      <c r="O19" s="17"/>
      <c r="P19" s="17"/>
      <c r="Q19" s="17"/>
      <c r="R19" s="17"/>
      <c r="S19" s="17"/>
      <c r="T19" s="205"/>
      <c r="U19" s="202">
        <v>0</v>
      </c>
      <c r="V19" s="202">
        <v>0</v>
      </c>
      <c r="W19" s="202">
        <v>0</v>
      </c>
      <c r="X19" s="202">
        <v>0</v>
      </c>
      <c r="Y19" s="202">
        <v>0</v>
      </c>
      <c r="AA19" s="203">
        <f t="shared" si="19"/>
        <v>0</v>
      </c>
      <c r="AB19" s="203">
        <f t="shared" si="20"/>
        <v>0</v>
      </c>
      <c r="AC19" s="203">
        <f t="shared" si="21"/>
        <v>0</v>
      </c>
      <c r="AD19" s="203">
        <f t="shared" si="22"/>
        <v>0</v>
      </c>
      <c r="AE19" s="203">
        <f t="shared" si="23"/>
        <v>0</v>
      </c>
    </row>
    <row r="20" spans="1:31" s="62" customFormat="1" ht="21" customHeight="1">
      <c r="A20" s="258" t="s">
        <v>457</v>
      </c>
      <c r="B20" s="249"/>
      <c r="C20" s="254">
        <f t="shared" ref="C20:S20" si="24">+C8+C9+C10+C11+C12+C18+C19</f>
        <v>0</v>
      </c>
      <c r="D20" s="254">
        <f t="shared" si="24"/>
        <v>7473.6900000000005</v>
      </c>
      <c r="E20" s="254">
        <f t="shared" si="24"/>
        <v>9242.02</v>
      </c>
      <c r="F20" s="254">
        <f t="shared" si="24"/>
        <v>12006.630000000001</v>
      </c>
      <c r="G20" s="254">
        <f t="shared" si="24"/>
        <v>15798.929999999998</v>
      </c>
      <c r="H20" s="254">
        <f t="shared" si="24"/>
        <v>18353.239999999998</v>
      </c>
      <c r="I20" s="254">
        <f t="shared" si="24"/>
        <v>19807.004433824466</v>
      </c>
      <c r="J20" s="254">
        <f t="shared" si="24"/>
        <v>22838.048367238247</v>
      </c>
      <c r="K20" s="254">
        <f t="shared" si="24"/>
        <v>24589.031960309185</v>
      </c>
      <c r="L20" s="254">
        <f t="shared" si="24"/>
        <v>24933.402169586621</v>
      </c>
      <c r="M20" s="254">
        <f t="shared" si="24"/>
        <v>24844.952299717657</v>
      </c>
      <c r="O20" s="160">
        <f t="shared" si="24"/>
        <v>1453.7644338244654</v>
      </c>
      <c r="P20" s="160">
        <f t="shared" si="24"/>
        <v>3031.04393341378</v>
      </c>
      <c r="Q20" s="160">
        <f t="shared" si="24"/>
        <v>1750.9835930709387</v>
      </c>
      <c r="R20" s="160">
        <f t="shared" si="24"/>
        <v>344.37020927743924</v>
      </c>
      <c r="S20" s="160">
        <f t="shared" si="24"/>
        <v>-88.449869868964925</v>
      </c>
      <c r="U20" s="160">
        <f t="shared" ref="U20:Y20" si="25">+U8+U9+U10+U11+U12+U18+U19</f>
        <v>7481.7199999999993</v>
      </c>
      <c r="V20" s="160">
        <f t="shared" si="25"/>
        <v>9252.880000000001</v>
      </c>
      <c r="W20" s="160">
        <f t="shared" si="25"/>
        <v>12030.439999999999</v>
      </c>
      <c r="X20" s="160">
        <f t="shared" si="25"/>
        <v>15463.37</v>
      </c>
      <c r="Y20" s="160">
        <f t="shared" si="25"/>
        <v>18012.84</v>
      </c>
      <c r="Z20" s="137"/>
      <c r="AA20" s="160">
        <f>+U20-D20</f>
        <v>8.0299999999988358</v>
      </c>
      <c r="AB20" s="160">
        <f>+V20-E20</f>
        <v>10.860000000000582</v>
      </c>
      <c r="AC20" s="160">
        <f>+W20-F20</f>
        <v>23.809999999997672</v>
      </c>
      <c r="AD20" s="160">
        <f>+X20-G20</f>
        <v>-335.55999999999767</v>
      </c>
      <c r="AE20" s="160">
        <f>+Y20-H20</f>
        <v>-340.39999999999782</v>
      </c>
    </row>
    <row r="21" spans="1:31" s="62" customFormat="1" ht="15" customHeight="1">
      <c r="A21" s="251"/>
      <c r="B21" s="249"/>
      <c r="C21" s="249"/>
      <c r="D21" s="249"/>
      <c r="E21" s="249"/>
      <c r="F21" s="249"/>
      <c r="G21" s="249"/>
      <c r="H21" s="249"/>
      <c r="I21" s="249"/>
      <c r="J21" s="249"/>
      <c r="K21" s="249"/>
      <c r="L21" s="249"/>
      <c r="M21" s="249"/>
      <c r="O21" s="61"/>
      <c r="P21" s="61"/>
      <c r="Q21" s="61"/>
      <c r="R21" s="61"/>
      <c r="S21" s="61"/>
      <c r="U21" s="162"/>
      <c r="V21" s="162"/>
      <c r="W21" s="162"/>
      <c r="X21" s="161"/>
      <c r="Y21" s="162"/>
      <c r="AA21" s="161"/>
      <c r="AB21" s="161"/>
      <c r="AC21" s="161"/>
      <c r="AD21" s="161"/>
      <c r="AE21" s="161"/>
    </row>
    <row r="22" spans="1:31" s="62" customFormat="1" ht="15" customHeight="1">
      <c r="A22" s="248" t="s">
        <v>72</v>
      </c>
      <c r="B22" s="249"/>
      <c r="C22" s="249"/>
      <c r="D22" s="249"/>
      <c r="E22" s="249"/>
      <c r="F22" s="249"/>
      <c r="G22" s="249"/>
      <c r="H22" s="249"/>
      <c r="I22" s="249"/>
      <c r="J22" s="249"/>
      <c r="K22" s="249"/>
      <c r="L22" s="249"/>
      <c r="M22" s="249"/>
      <c r="O22" s="61"/>
      <c r="P22" s="61"/>
      <c r="Q22" s="61"/>
      <c r="R22" s="61"/>
      <c r="S22" s="61"/>
      <c r="U22" s="162"/>
      <c r="V22" s="162"/>
      <c r="W22" s="162"/>
      <c r="X22" s="162"/>
      <c r="Y22" s="162"/>
      <c r="AA22" s="161"/>
      <c r="AB22" s="161"/>
      <c r="AC22" s="161"/>
      <c r="AD22" s="161"/>
      <c r="AE22" s="161"/>
    </row>
    <row r="23" spans="1:31" s="62" customFormat="1" ht="21" customHeight="1">
      <c r="A23" s="259" t="s">
        <v>63</v>
      </c>
      <c r="B23" s="249"/>
      <c r="C23" s="249"/>
      <c r="D23" s="251">
        <v>0.05</v>
      </c>
      <c r="E23" s="251">
        <v>0.05</v>
      </c>
      <c r="F23" s="251">
        <v>0.05</v>
      </c>
      <c r="G23" s="251">
        <v>0.05</v>
      </c>
      <c r="H23" s="251">
        <v>0.05</v>
      </c>
      <c r="I23" s="251">
        <v>0.05</v>
      </c>
      <c r="J23" s="251">
        <v>0.05</v>
      </c>
      <c r="K23" s="251">
        <v>0.05</v>
      </c>
      <c r="L23" s="251">
        <v>0.05</v>
      </c>
      <c r="M23" s="251">
        <v>0.05</v>
      </c>
      <c r="O23" s="17">
        <f>+I23-H23</f>
        <v>0</v>
      </c>
      <c r="P23" s="17">
        <f t="shared" ref="P23:S23" si="26">+J23-I23</f>
        <v>0</v>
      </c>
      <c r="Q23" s="17">
        <f t="shared" si="26"/>
        <v>0</v>
      </c>
      <c r="R23" s="17">
        <f t="shared" si="26"/>
        <v>0</v>
      </c>
      <c r="S23" s="17">
        <f t="shared" si="26"/>
        <v>0</v>
      </c>
      <c r="U23" s="161">
        <v>0.05</v>
      </c>
      <c r="V23" s="206">
        <v>0.05</v>
      </c>
      <c r="W23" s="161">
        <v>0.05</v>
      </c>
      <c r="X23" s="161">
        <v>0.05</v>
      </c>
      <c r="Y23" s="161">
        <v>0.05</v>
      </c>
      <c r="AA23" s="203">
        <f t="shared" ref="AA23" si="27">+U23-D23</f>
        <v>0</v>
      </c>
      <c r="AB23" s="203">
        <f t="shared" ref="AB23" si="28">+V23-E23</f>
        <v>0</v>
      </c>
      <c r="AC23" s="203">
        <f t="shared" ref="AC23" si="29">+W23-F23</f>
        <v>0</v>
      </c>
      <c r="AD23" s="203">
        <f t="shared" ref="AD23:AD24" si="30">+X23-G23</f>
        <v>0</v>
      </c>
      <c r="AE23" s="203">
        <f t="shared" ref="AE23" si="31">+Y23-H23</f>
        <v>0</v>
      </c>
    </row>
    <row r="24" spans="1:31" s="62" customFormat="1" ht="18" customHeight="1">
      <c r="A24" s="260" t="s">
        <v>64</v>
      </c>
      <c r="B24" s="249"/>
      <c r="C24" s="251" t="e">
        <f>+'1.1n(Res.)'!C6+'1.1n(Res.)'!C7+'1.1n(Res.)'!C8+'1.1n(Res.)'!C9+'1.1n(Res.)'!#REF!</f>
        <v>#REF!</v>
      </c>
      <c r="D24" s="251">
        <f>+'1.1n(Res.)'!D6+'1.1n(Res.)'!D7+'1.1n(Res.)'!D8+'1.1n(Res.)'!D9</f>
        <v>964.12999999999988</v>
      </c>
      <c r="E24" s="251">
        <f>+'1.1n(Res.)'!E6+'1.1n(Res.)'!E7+'1.1n(Res.)'!E8+'1.1n(Res.)'!E9</f>
        <v>959.65</v>
      </c>
      <c r="F24" s="251">
        <f>+'1.1n(Res.)'!F6+'1.1n(Res.)'!F7+'1.1n(Res.)'!F8+'1.1n(Res.)'!F9</f>
        <v>961.29</v>
      </c>
      <c r="G24" s="251">
        <f>+'1.1n(Res.)'!G6+'1.1n(Res.)'!G7+'1.1n(Res.)'!G8+'1.1n(Res.)'!G9</f>
        <v>646.62</v>
      </c>
      <c r="H24" s="251">
        <f>+'1.1n(Res.)'!H6+'1.1n(Res.)'!H7+'1.1n(Res.)'!H8+'1.1n(Res.)'!H9</f>
        <v>649.26</v>
      </c>
      <c r="I24" s="251">
        <f>+'1.1n(Res.)'!I6+'1.1n(Res.)'!I7+'1.1n(Res.)'!I8+'1.1n(Res.)'!I9</f>
        <v>636.81000000000006</v>
      </c>
      <c r="J24" s="251">
        <f>+'1.1n(Res.)'!J6+'1.1n(Res.)'!J7+'1.1n(Res.)'!J8+'1.1n(Res.)'!J9</f>
        <v>639.81000000000006</v>
      </c>
      <c r="K24" s="251">
        <f>+'1.1n(Res.)'!K6+'1.1n(Res.)'!K7+'1.1n(Res.)'!K8+'1.1n(Res.)'!K9</f>
        <v>642.81000000000006</v>
      </c>
      <c r="L24" s="251">
        <f>+'1.1n(Res.)'!L6+'1.1n(Res.)'!L7+'1.1n(Res.)'!L8+'1.1n(Res.)'!L9</f>
        <v>645.81000000000006</v>
      </c>
      <c r="M24" s="251">
        <f>+'1.1n(Res.)'!M6+'1.1n(Res.)'!M7+'1.1n(Res.)'!M8+'1.1n(Res.)'!M9</f>
        <v>648.81000000000006</v>
      </c>
      <c r="O24" s="17">
        <f t="shared" ref="O24:O25" si="32">+I24-H24</f>
        <v>-12.449999999999932</v>
      </c>
      <c r="P24" s="17">
        <f t="shared" ref="P24:P25" si="33">+J24-I24</f>
        <v>3</v>
      </c>
      <c r="Q24" s="17">
        <f t="shared" ref="Q24:Q25" si="34">+K24-J24</f>
        <v>3</v>
      </c>
      <c r="R24" s="17">
        <f t="shared" ref="R24:R25" si="35">+L24-K24</f>
        <v>3</v>
      </c>
      <c r="S24" s="17">
        <f t="shared" ref="S24:S25" si="36">+M24-L24</f>
        <v>3</v>
      </c>
      <c r="U24" s="161">
        <f>965.95-1.82</f>
        <v>964.13</v>
      </c>
      <c r="V24" s="206">
        <v>959.65</v>
      </c>
      <c r="W24" s="161">
        <v>961.29</v>
      </c>
      <c r="X24" s="161">
        <v>646.62</v>
      </c>
      <c r="Y24" s="161">
        <v>649.07000000000005</v>
      </c>
      <c r="AA24" s="203">
        <f t="shared" ref="AA24:AA33" si="37">+U24-D24</f>
        <v>0</v>
      </c>
      <c r="AB24" s="204">
        <f t="shared" ref="AB24:AB33" si="38">+V24-E24</f>
        <v>0</v>
      </c>
      <c r="AC24" s="204">
        <f t="shared" ref="AC24:AC33" si="39">+W24-F24</f>
        <v>0</v>
      </c>
      <c r="AD24" s="203">
        <f t="shared" si="30"/>
        <v>0</v>
      </c>
      <c r="AE24" s="204">
        <f t="shared" ref="AE24:AE33" si="40">+Y24-H24</f>
        <v>-0.18999999999994088</v>
      </c>
    </row>
    <row r="25" spans="1:31" s="62" customFormat="1" ht="18" customHeight="1">
      <c r="A25" s="259" t="s">
        <v>65</v>
      </c>
      <c r="B25" s="249"/>
      <c r="C25" s="251" t="e">
        <f>+'1.1g(Loan)'!#REF!</f>
        <v>#REF!</v>
      </c>
      <c r="D25" s="251">
        <f>+'1.1g(Loan)'!L104</f>
        <v>2999.7400000000007</v>
      </c>
      <c r="E25" s="251">
        <f>+'1.1g(Loan)'!L156</f>
        <v>3810.3900000000008</v>
      </c>
      <c r="F25" s="251">
        <f>+'1.1g(Loan)'!L208</f>
        <v>5167.4800000000005</v>
      </c>
      <c r="G25" s="251">
        <f>+'1.1g(Loan)'!L260</f>
        <v>7023.670000000001</v>
      </c>
      <c r="H25" s="251">
        <f>+'1.1g(Loan)'!L312</f>
        <v>8270.73</v>
      </c>
      <c r="I25" s="251">
        <f>+'1.1g(Loan)'!L364</f>
        <v>8684.7699999999986</v>
      </c>
      <c r="J25" s="251">
        <f>+'1.1g(Loan)'!L416</f>
        <v>10354.85</v>
      </c>
      <c r="K25" s="251">
        <f>+'1.1g(Loan)'!L468</f>
        <v>11468.8</v>
      </c>
      <c r="L25" s="251">
        <f>+'1.1g(Loan)'!L520</f>
        <v>11701.789999999997</v>
      </c>
      <c r="M25" s="251">
        <f>+'1.1g(Loan)'!L572</f>
        <v>11642.049999999997</v>
      </c>
      <c r="O25" s="17">
        <f t="shared" si="32"/>
        <v>414.03999999999905</v>
      </c>
      <c r="P25" s="17">
        <f t="shared" si="33"/>
        <v>1670.0800000000017</v>
      </c>
      <c r="Q25" s="17">
        <f t="shared" si="34"/>
        <v>1113.9499999999989</v>
      </c>
      <c r="R25" s="17">
        <f t="shared" si="35"/>
        <v>232.98999999999796</v>
      </c>
      <c r="S25" s="17">
        <f t="shared" si="36"/>
        <v>-59.739999999999782</v>
      </c>
      <c r="U25" s="161">
        <v>2999.74</v>
      </c>
      <c r="V25" s="161">
        <v>3810.39</v>
      </c>
      <c r="W25" s="161">
        <v>5167.4799999999996</v>
      </c>
      <c r="X25" s="161">
        <v>7023.67</v>
      </c>
      <c r="Y25" s="161">
        <v>8270.73</v>
      </c>
      <c r="AA25" s="203">
        <f t="shared" si="37"/>
        <v>0</v>
      </c>
      <c r="AB25" s="204">
        <f t="shared" si="38"/>
        <v>0</v>
      </c>
      <c r="AC25" s="204">
        <f t="shared" si="39"/>
        <v>0</v>
      </c>
      <c r="AD25" s="204">
        <f t="shared" ref="AD25:AD33" si="41">+X25-G25</f>
        <v>0</v>
      </c>
      <c r="AE25" s="204">
        <f t="shared" si="40"/>
        <v>0</v>
      </c>
    </row>
    <row r="26" spans="1:31" s="62" customFormat="1" ht="18" customHeight="1">
      <c r="A26" s="260" t="s">
        <v>66</v>
      </c>
      <c r="B26" s="249"/>
      <c r="C26" s="251">
        <f>+'1.1h(FL)'!P16</f>
        <v>0</v>
      </c>
      <c r="D26" s="257">
        <f>+'1.1h(FL)'!P31</f>
        <v>0</v>
      </c>
      <c r="E26" s="257">
        <f>+'1.1h(FL)'!Q31</f>
        <v>0</v>
      </c>
      <c r="F26" s="257">
        <f>+'1.1h(FL)'!R31</f>
        <v>0</v>
      </c>
      <c r="G26" s="257">
        <f>+'1.1h(FL)'!S31</f>
        <v>0</v>
      </c>
      <c r="H26" s="257">
        <f>+'1.1h(FL)'!T31</f>
        <v>0</v>
      </c>
      <c r="I26" s="257">
        <f>+'1.1h(FL)'!U31</f>
        <v>0</v>
      </c>
      <c r="J26" s="257">
        <f>+'1.1h(FL)'!V31</f>
        <v>0</v>
      </c>
      <c r="K26" s="257">
        <f>+'1.1h(FL)'!W31</f>
        <v>0</v>
      </c>
      <c r="L26" s="257">
        <f>+'1.1h(FL)'!X31</f>
        <v>0</v>
      </c>
      <c r="M26" s="257">
        <f>+'1.1h(FL)'!Y31</f>
        <v>0</v>
      </c>
      <c r="N26" s="205"/>
      <c r="O26" s="238"/>
      <c r="P26" s="238"/>
      <c r="Q26" s="238"/>
      <c r="R26" s="238"/>
      <c r="S26" s="238"/>
      <c r="T26" s="205"/>
      <c r="U26" s="202">
        <v>0</v>
      </c>
      <c r="V26" s="202">
        <v>0</v>
      </c>
      <c r="W26" s="202">
        <v>0</v>
      </c>
      <c r="X26" s="202">
        <v>0</v>
      </c>
      <c r="Y26" s="202">
        <v>0</v>
      </c>
      <c r="AA26" s="203">
        <f t="shared" si="37"/>
        <v>0</v>
      </c>
      <c r="AB26" s="203">
        <f t="shared" si="38"/>
        <v>0</v>
      </c>
      <c r="AC26" s="203">
        <f t="shared" si="39"/>
        <v>0</v>
      </c>
      <c r="AD26" s="203">
        <f t="shared" si="41"/>
        <v>0</v>
      </c>
      <c r="AE26" s="203">
        <f t="shared" si="40"/>
        <v>0</v>
      </c>
    </row>
    <row r="27" spans="1:31" s="62" customFormat="1" ht="18" customHeight="1">
      <c r="A27" s="260" t="s">
        <v>67</v>
      </c>
      <c r="B27" s="249"/>
      <c r="C27" s="249"/>
      <c r="D27" s="257">
        <v>0</v>
      </c>
      <c r="E27" s="257">
        <v>0</v>
      </c>
      <c r="F27" s="257">
        <v>0</v>
      </c>
      <c r="G27" s="257">
        <v>0</v>
      </c>
      <c r="H27" s="257">
        <v>0</v>
      </c>
      <c r="I27" s="257">
        <v>0</v>
      </c>
      <c r="J27" s="257">
        <v>0</v>
      </c>
      <c r="K27" s="257">
        <v>0</v>
      </c>
      <c r="L27" s="257">
        <v>0</v>
      </c>
      <c r="M27" s="257">
        <v>0</v>
      </c>
      <c r="N27" s="205"/>
      <c r="O27" s="238"/>
      <c r="P27" s="238"/>
      <c r="Q27" s="238"/>
      <c r="R27" s="238"/>
      <c r="S27" s="238"/>
      <c r="T27" s="205"/>
      <c r="U27" s="202">
        <v>0</v>
      </c>
      <c r="V27" s="202">
        <v>0</v>
      </c>
      <c r="W27" s="202">
        <v>0</v>
      </c>
      <c r="X27" s="202">
        <v>0</v>
      </c>
      <c r="Y27" s="202">
        <v>0</v>
      </c>
      <c r="AA27" s="203">
        <f t="shared" si="37"/>
        <v>0</v>
      </c>
      <c r="AB27" s="203">
        <f t="shared" si="38"/>
        <v>0</v>
      </c>
      <c r="AC27" s="203">
        <f t="shared" si="39"/>
        <v>0</v>
      </c>
      <c r="AD27" s="203">
        <f t="shared" si="41"/>
        <v>0</v>
      </c>
      <c r="AE27" s="203">
        <f t="shared" si="40"/>
        <v>0</v>
      </c>
    </row>
    <row r="28" spans="1:31" s="62" customFormat="1" ht="18" customHeight="1">
      <c r="A28" s="259" t="s">
        <v>68</v>
      </c>
      <c r="B28" s="249"/>
      <c r="C28" s="251">
        <f>+'1.1k(CL)'!C15</f>
        <v>0</v>
      </c>
      <c r="D28" s="251">
        <f>+'1.1k(CL)'!D15</f>
        <v>2194.3300000000004</v>
      </c>
      <c r="E28" s="251">
        <f>+'1.1k(CL)'!E15</f>
        <v>2940.7799999999997</v>
      </c>
      <c r="F28" s="251">
        <f>+'1.1k(CL)'!F15</f>
        <v>4200.51</v>
      </c>
      <c r="G28" s="251">
        <f>+'1.1k(CL)'!G15</f>
        <v>5923.13</v>
      </c>
      <c r="H28" s="251">
        <f>+'1.1k(CL)'!H15</f>
        <v>5552.92</v>
      </c>
      <c r="I28" s="251">
        <f>+'1.1k(CL)'!I15</f>
        <v>4684.3099999999995</v>
      </c>
      <c r="J28" s="251">
        <f>+'1.1k(CL)'!J15</f>
        <v>5813.45</v>
      </c>
      <c r="K28" s="251">
        <f>+'1.1k(CL)'!K15</f>
        <v>5052.04</v>
      </c>
      <c r="L28" s="251">
        <f>+'1.1k(CL)'!L15</f>
        <v>5036.63</v>
      </c>
      <c r="M28" s="251">
        <f>+'1.1k(CL)'!M15</f>
        <v>2663.1899999999996</v>
      </c>
      <c r="O28" s="17">
        <f>+I28-H28</f>
        <v>-868.61000000000058</v>
      </c>
      <c r="P28" s="17">
        <f t="shared" ref="P28:S31" si="42">+J28-I28</f>
        <v>1129.1400000000003</v>
      </c>
      <c r="Q28" s="17">
        <f t="shared" si="42"/>
        <v>-761.40999999999985</v>
      </c>
      <c r="R28" s="17">
        <f t="shared" si="42"/>
        <v>-15.409999999999854</v>
      </c>
      <c r="S28" s="17">
        <f t="shared" si="42"/>
        <v>-2373.4400000000005</v>
      </c>
      <c r="U28" s="161">
        <f>2192.51+1.82</f>
        <v>2194.3300000000004</v>
      </c>
      <c r="V28" s="161">
        <v>2940.78</v>
      </c>
      <c r="W28" s="127">
        <f>+F28</f>
        <v>4200.51</v>
      </c>
      <c r="X28" s="161">
        <v>5737.04</v>
      </c>
      <c r="Y28" s="161">
        <v>7585.24</v>
      </c>
      <c r="AA28" s="203">
        <f t="shared" si="37"/>
        <v>0</v>
      </c>
      <c r="AB28" s="204">
        <f t="shared" si="38"/>
        <v>0</v>
      </c>
      <c r="AC28" s="204">
        <f t="shared" si="39"/>
        <v>0</v>
      </c>
      <c r="AD28" s="204">
        <f t="shared" si="41"/>
        <v>-186.09000000000015</v>
      </c>
      <c r="AE28" s="204">
        <f t="shared" si="40"/>
        <v>2032.3199999999997</v>
      </c>
    </row>
    <row r="29" spans="1:31" s="62" customFormat="1" ht="25.5">
      <c r="A29" s="261" t="s">
        <v>444</v>
      </c>
      <c r="B29" s="249"/>
      <c r="C29" s="251">
        <f>+'7(Cont.)'!F8</f>
        <v>0</v>
      </c>
      <c r="D29" s="251">
        <f>+'7(Cont.)'!F14</f>
        <v>688.36</v>
      </c>
      <c r="E29" s="251">
        <f>+'7(Cont.)'!F20</f>
        <v>737.27</v>
      </c>
      <c r="F29" s="251">
        <f>+'7(Cont.)'!F26</f>
        <v>469.54</v>
      </c>
      <c r="G29" s="251">
        <f>+'7(Cont.)'!F32</f>
        <v>573.58000000000004</v>
      </c>
      <c r="H29" s="251">
        <f>+'7(Cont.)'!F40</f>
        <v>1918.2699999999998</v>
      </c>
      <c r="I29" s="251">
        <f>+'7(Cont.)'!F46</f>
        <v>3593.6199999999994</v>
      </c>
      <c r="J29" s="251">
        <f>+'7(Cont.)'!F52</f>
        <v>3495.4299999999994</v>
      </c>
      <c r="K29" s="251">
        <f>+'7(Cont.)'!F58</f>
        <v>4477.9799999999996</v>
      </c>
      <c r="L29" s="251">
        <f>+'7(Cont.)'!F64</f>
        <v>4127.4699999999993</v>
      </c>
      <c r="M29" s="251">
        <f>+'7(Cont.)'!F70</f>
        <v>5968</v>
      </c>
      <c r="O29" s="17">
        <f>+I29-H29</f>
        <v>1675.3499999999997</v>
      </c>
      <c r="P29" s="17">
        <f t="shared" si="42"/>
        <v>-98.190000000000055</v>
      </c>
      <c r="Q29" s="17">
        <f t="shared" si="42"/>
        <v>982.55000000000018</v>
      </c>
      <c r="R29" s="17">
        <f t="shared" si="42"/>
        <v>-350.51000000000022</v>
      </c>
      <c r="S29" s="17">
        <f t="shared" si="42"/>
        <v>1840.5300000000007</v>
      </c>
      <c r="U29" s="161">
        <v>688.36</v>
      </c>
      <c r="V29" s="206">
        <v>737.27</v>
      </c>
      <c r="W29" s="161">
        <v>471.81</v>
      </c>
      <c r="X29" s="161">
        <v>575.85</v>
      </c>
      <c r="Y29" s="161">
        <v>624.15</v>
      </c>
      <c r="AA29" s="203">
        <f t="shared" si="37"/>
        <v>0</v>
      </c>
      <c r="AB29" s="203">
        <f t="shared" si="38"/>
        <v>0</v>
      </c>
      <c r="AC29" s="201">
        <f t="shared" si="39"/>
        <v>2.2699999999999818</v>
      </c>
      <c r="AD29" s="201">
        <f t="shared" si="41"/>
        <v>2.2699999999999818</v>
      </c>
      <c r="AE29" s="201">
        <f t="shared" si="40"/>
        <v>-1294.1199999999999</v>
      </c>
    </row>
    <row r="30" spans="1:31" s="62" customFormat="1" ht="18.75" customHeight="1">
      <c r="A30" s="259" t="s">
        <v>69</v>
      </c>
      <c r="B30" s="249"/>
      <c r="C30" s="249"/>
      <c r="D30" s="249">
        <v>20.59</v>
      </c>
      <c r="E30" s="251">
        <f>24.32+35.98</f>
        <v>60.3</v>
      </c>
      <c r="F30" s="249">
        <v>6.88</v>
      </c>
      <c r="G30" s="249">
        <v>23.23</v>
      </c>
      <c r="H30" s="251">
        <f>107.04-48.64</f>
        <v>58.400000000000006</v>
      </c>
      <c r="I30" s="251">
        <v>0</v>
      </c>
      <c r="J30" s="251">
        <v>0</v>
      </c>
      <c r="K30" s="251">
        <v>0</v>
      </c>
      <c r="L30" s="251">
        <v>0</v>
      </c>
      <c r="M30" s="251">
        <v>0</v>
      </c>
      <c r="O30" s="17">
        <f>+I30-H30</f>
        <v>-58.400000000000006</v>
      </c>
      <c r="P30" s="17">
        <f t="shared" si="42"/>
        <v>0</v>
      </c>
      <c r="Q30" s="17">
        <f t="shared" si="42"/>
        <v>0</v>
      </c>
      <c r="R30" s="17">
        <f t="shared" si="42"/>
        <v>0</v>
      </c>
      <c r="S30" s="17">
        <f t="shared" si="42"/>
        <v>0</v>
      </c>
      <c r="U30" s="162">
        <v>20.59</v>
      </c>
      <c r="V30" s="206">
        <v>60.3</v>
      </c>
      <c r="W30" s="162">
        <v>6.88</v>
      </c>
      <c r="X30" s="162">
        <v>23.23</v>
      </c>
      <c r="Y30" s="161">
        <v>107.04</v>
      </c>
      <c r="AA30" s="203">
        <f t="shared" si="37"/>
        <v>0</v>
      </c>
      <c r="AB30" s="203">
        <f t="shared" si="38"/>
        <v>0</v>
      </c>
      <c r="AC30" s="203">
        <f t="shared" si="39"/>
        <v>0</v>
      </c>
      <c r="AD30" s="203">
        <f t="shared" si="41"/>
        <v>0</v>
      </c>
      <c r="AE30" s="203">
        <f t="shared" si="40"/>
        <v>48.64</v>
      </c>
    </row>
    <row r="31" spans="1:31" s="62" customFormat="1" ht="25.5">
      <c r="A31" s="261" t="s">
        <v>445</v>
      </c>
      <c r="B31" s="249"/>
      <c r="C31" s="249"/>
      <c r="D31" s="249">
        <v>503.94</v>
      </c>
      <c r="E31" s="249">
        <v>503.94</v>
      </c>
      <c r="F31" s="249">
        <v>503.94</v>
      </c>
      <c r="G31" s="249">
        <v>503.94</v>
      </c>
      <c r="H31" s="249">
        <v>503.94</v>
      </c>
      <c r="I31" s="249">
        <v>503.94</v>
      </c>
      <c r="J31" s="249">
        <v>503.94</v>
      </c>
      <c r="K31" s="249">
        <v>503.94</v>
      </c>
      <c r="L31" s="249">
        <v>503.94</v>
      </c>
      <c r="M31" s="249">
        <v>503.94</v>
      </c>
      <c r="O31" s="17">
        <f>+I31-H31</f>
        <v>0</v>
      </c>
      <c r="P31" s="17">
        <f t="shared" si="42"/>
        <v>0</v>
      </c>
      <c r="Q31" s="17">
        <f t="shared" si="42"/>
        <v>0</v>
      </c>
      <c r="R31" s="17">
        <f t="shared" si="42"/>
        <v>0</v>
      </c>
      <c r="S31" s="17">
        <f t="shared" si="42"/>
        <v>0</v>
      </c>
      <c r="U31" s="191">
        <v>503.94</v>
      </c>
      <c r="V31" s="208">
        <v>503.94</v>
      </c>
      <c r="W31" s="191">
        <v>503.94</v>
      </c>
      <c r="X31" s="191">
        <v>503.94</v>
      </c>
      <c r="Y31" s="191">
        <v>503.94</v>
      </c>
      <c r="AA31" s="203">
        <f t="shared" si="37"/>
        <v>0</v>
      </c>
      <c r="AB31" s="203">
        <f t="shared" si="38"/>
        <v>0</v>
      </c>
      <c r="AC31" s="203">
        <f t="shared" si="39"/>
        <v>0</v>
      </c>
      <c r="AD31" s="203">
        <f t="shared" si="41"/>
        <v>0</v>
      </c>
      <c r="AE31" s="203">
        <f t="shared" si="40"/>
        <v>0</v>
      </c>
    </row>
    <row r="32" spans="1:31" s="62" customFormat="1" ht="18.75" customHeight="1">
      <c r="A32" s="260" t="s">
        <v>375</v>
      </c>
      <c r="B32" s="249"/>
      <c r="C32" s="251">
        <v>0</v>
      </c>
      <c r="D32" s="249">
        <v>66.849999999999994</v>
      </c>
      <c r="E32" s="249">
        <v>109.36</v>
      </c>
      <c r="F32" s="251">
        <v>246.48</v>
      </c>
      <c r="G32" s="251">
        <v>293.14999999999998</v>
      </c>
      <c r="H32" s="251">
        <v>445.08</v>
      </c>
      <c r="I32" s="251">
        <f t="shared" ref="I32:M32" si="43">+H32</f>
        <v>445.08</v>
      </c>
      <c r="J32" s="251">
        <f t="shared" si="43"/>
        <v>445.08</v>
      </c>
      <c r="K32" s="251">
        <f t="shared" si="43"/>
        <v>445.08</v>
      </c>
      <c r="L32" s="251">
        <f t="shared" si="43"/>
        <v>445.08</v>
      </c>
      <c r="M32" s="251">
        <f t="shared" si="43"/>
        <v>445.08</v>
      </c>
      <c r="O32" s="17">
        <f t="shared" ref="O32:O33" si="44">+I32-H32</f>
        <v>0</v>
      </c>
      <c r="P32" s="17">
        <f t="shared" ref="P32:P33" si="45">+J32-I32</f>
        <v>0</v>
      </c>
      <c r="Q32" s="17">
        <f t="shared" ref="Q32:Q33" si="46">+K32-J32</f>
        <v>0</v>
      </c>
      <c r="R32" s="17">
        <f t="shared" ref="R32:R33" si="47">+L32-K32</f>
        <v>0</v>
      </c>
      <c r="S32" s="17">
        <f t="shared" ref="S32:S33" si="48">+M32-L32</f>
        <v>0</v>
      </c>
      <c r="U32" s="191">
        <v>66.849999999999994</v>
      </c>
      <c r="V32" s="208">
        <v>109.36</v>
      </c>
      <c r="W32" s="192">
        <v>246.48</v>
      </c>
      <c r="X32" s="192">
        <v>293.14999999999998</v>
      </c>
      <c r="Y32" s="161">
        <v>293.14999999999998</v>
      </c>
      <c r="AA32" s="203">
        <f t="shared" si="37"/>
        <v>0</v>
      </c>
      <c r="AB32" s="203">
        <f t="shared" si="38"/>
        <v>0</v>
      </c>
      <c r="AC32" s="203">
        <f t="shared" si="39"/>
        <v>0</v>
      </c>
      <c r="AD32" s="203">
        <f t="shared" si="41"/>
        <v>0</v>
      </c>
      <c r="AE32" s="203">
        <f t="shared" si="40"/>
        <v>-151.93</v>
      </c>
    </row>
    <row r="33" spans="1:31" s="62" customFormat="1" ht="19.5" customHeight="1">
      <c r="A33" s="260" t="s">
        <v>70</v>
      </c>
      <c r="B33" s="249"/>
      <c r="C33" s="251">
        <f>+'1.1n(Res.)'!C10</f>
        <v>0</v>
      </c>
      <c r="D33" s="251">
        <f>+'1.1n(Res.)'!D10</f>
        <v>43.73</v>
      </c>
      <c r="E33" s="251">
        <f>+'1.1n(Res.)'!E10</f>
        <v>131.13999999999999</v>
      </c>
      <c r="F33" s="251">
        <v>472</v>
      </c>
      <c r="G33" s="251">
        <f>+'1.1n(Res.)'!G10</f>
        <v>678.99</v>
      </c>
      <c r="H33" s="251">
        <f>+'1.1n(Res.)'!H10</f>
        <v>954.59</v>
      </c>
      <c r="I33" s="251">
        <f>+'1.1n(Res.)'!I10</f>
        <v>1258.4252597437228</v>
      </c>
      <c r="J33" s="251">
        <f>+'1.1n(Res.)'!J10</f>
        <v>1585.4374014039436</v>
      </c>
      <c r="K33" s="251">
        <f>+'1.1n(Res.)'!K10</f>
        <v>1998.3357474719687</v>
      </c>
      <c r="L33" s="251">
        <f>+'1.1n(Res.)'!L10</f>
        <v>2472.6323819817244</v>
      </c>
      <c r="M33" s="251">
        <f>+'1.1n(Res.)'!M10</f>
        <v>2973.831974344178</v>
      </c>
      <c r="O33" s="17">
        <f t="shared" si="44"/>
        <v>303.83525974372276</v>
      </c>
      <c r="P33" s="17">
        <f t="shared" si="45"/>
        <v>327.01214166022078</v>
      </c>
      <c r="Q33" s="17">
        <f t="shared" si="46"/>
        <v>412.89834606802515</v>
      </c>
      <c r="R33" s="17">
        <f t="shared" si="47"/>
        <v>474.29663450975568</v>
      </c>
      <c r="S33" s="17">
        <f t="shared" si="48"/>
        <v>501.19959236245359</v>
      </c>
      <c r="U33" s="192">
        <v>43.73</v>
      </c>
      <c r="V33" s="207">
        <v>131.13999999999999</v>
      </c>
      <c r="W33" s="192">
        <v>472</v>
      </c>
      <c r="X33" s="192">
        <v>678.99</v>
      </c>
      <c r="Y33" s="161">
        <v>712.99</v>
      </c>
      <c r="AA33" s="203">
        <f t="shared" si="37"/>
        <v>0</v>
      </c>
      <c r="AB33" s="203">
        <f t="shared" si="38"/>
        <v>0</v>
      </c>
      <c r="AC33" s="203">
        <f t="shared" si="39"/>
        <v>0</v>
      </c>
      <c r="AD33" s="203">
        <f t="shared" si="41"/>
        <v>0</v>
      </c>
      <c r="AE33" s="203">
        <f t="shared" si="40"/>
        <v>-241.60000000000002</v>
      </c>
    </row>
    <row r="34" spans="1:31" s="62" customFormat="1" ht="22.5" customHeight="1">
      <c r="A34" s="258" t="s">
        <v>458</v>
      </c>
      <c r="B34" s="249"/>
      <c r="C34" s="254" t="e">
        <f>SUM(C23:C33)</f>
        <v>#REF!</v>
      </c>
      <c r="D34" s="254">
        <f>SUM(D23:D33)</f>
        <v>7481.72</v>
      </c>
      <c r="E34" s="254">
        <f t="shared" ref="E34:S34" si="49">SUM(E23:E33)</f>
        <v>9252.880000000001</v>
      </c>
      <c r="F34" s="254">
        <f t="shared" si="49"/>
        <v>12028.170000000002</v>
      </c>
      <c r="G34" s="254">
        <f t="shared" si="49"/>
        <v>15666.36</v>
      </c>
      <c r="H34" s="254">
        <f t="shared" si="49"/>
        <v>18353.240000000002</v>
      </c>
      <c r="I34" s="254">
        <f>SUM(I23:I33)-0.01</f>
        <v>19806.995259743722</v>
      </c>
      <c r="J34" s="254">
        <f t="shared" si="49"/>
        <v>22838.047401403943</v>
      </c>
      <c r="K34" s="254">
        <f>SUM(K23:K33)-0.01</f>
        <v>24589.025747471973</v>
      </c>
      <c r="L34" s="254">
        <f t="shared" si="49"/>
        <v>24933.402381981723</v>
      </c>
      <c r="M34" s="254">
        <f t="shared" si="49"/>
        <v>24844.951974344178</v>
      </c>
      <c r="O34" s="160">
        <f t="shared" si="49"/>
        <v>1453.7652597437209</v>
      </c>
      <c r="P34" s="160">
        <f t="shared" si="49"/>
        <v>3031.042141660223</v>
      </c>
      <c r="Q34" s="160">
        <f t="shared" si="49"/>
        <v>1750.9883460680244</v>
      </c>
      <c r="R34" s="160">
        <f t="shared" si="49"/>
        <v>344.36663450975357</v>
      </c>
      <c r="S34" s="160">
        <f t="shared" si="49"/>
        <v>-88.45040763754605</v>
      </c>
      <c r="U34" s="160">
        <f>SUM(U23:U33)</f>
        <v>7481.7199999999993</v>
      </c>
      <c r="V34" s="160">
        <f t="shared" ref="V34:Y34" si="50">SUM(V23:V33)</f>
        <v>9252.880000000001</v>
      </c>
      <c r="W34" s="160">
        <f t="shared" si="50"/>
        <v>12030.439999999999</v>
      </c>
      <c r="X34" s="160">
        <f t="shared" si="50"/>
        <v>15482.54</v>
      </c>
      <c r="Y34" s="160">
        <f t="shared" si="50"/>
        <v>18746.360000000004</v>
      </c>
      <c r="AA34" s="160">
        <f>+U34-D34</f>
        <v>0</v>
      </c>
      <c r="AB34" s="160">
        <f>+V34-E34</f>
        <v>0</v>
      </c>
      <c r="AC34" s="160">
        <f>+W34-F34</f>
        <v>2.2699999999967986</v>
      </c>
      <c r="AD34" s="160">
        <f>+X34-G34</f>
        <v>-183.81999999999971</v>
      </c>
      <c r="AE34" s="160">
        <f>+Y34-H34</f>
        <v>393.12000000000262</v>
      </c>
    </row>
    <row r="35" spans="1:31">
      <c r="A35" s="244"/>
      <c r="B35" s="243"/>
      <c r="C35" s="243"/>
      <c r="D35" s="243"/>
      <c r="E35" s="243"/>
      <c r="F35" s="243"/>
      <c r="G35" s="243"/>
      <c r="H35" s="243"/>
      <c r="I35" s="243"/>
      <c r="J35" s="243"/>
      <c r="K35" s="243"/>
      <c r="L35" s="243"/>
      <c r="M35" s="243"/>
    </row>
  </sheetData>
  <mergeCells count="1">
    <mergeCell ref="J3:K3"/>
  </mergeCells>
  <phoneticPr fontId="3" type="noConversion"/>
  <printOptions horizontalCentered="1"/>
  <pageMargins left="0.28000000000000003" right="0.17" top="0.45" bottom="0.44" header="0.24" footer="0.25"/>
  <pageSetup paperSize="9" scale="9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K363"/>
  <sheetViews>
    <sheetView showGridLines="0" view="pageBreakPreview" topLeftCell="A328" zoomScaleSheetLayoutView="100" workbookViewId="0">
      <selection activeCell="I210" sqref="I210"/>
    </sheetView>
  </sheetViews>
  <sheetFormatPr defaultRowHeight="12.75"/>
  <cols>
    <col min="1" max="1" width="34.42578125" bestFit="1" customWidth="1"/>
    <col min="2" max="2" width="6.7109375" bestFit="1" customWidth="1"/>
    <col min="3" max="3" width="11" customWidth="1"/>
    <col min="4" max="4" width="10.85546875" customWidth="1"/>
    <col min="5" max="5" width="12.42578125" customWidth="1"/>
    <col min="6" max="6" width="11.7109375" customWidth="1"/>
    <col min="10" max="10" width="10.5703125" bestFit="1" customWidth="1"/>
  </cols>
  <sheetData>
    <row r="1" spans="1:7" hidden="1">
      <c r="A1" s="19" t="s">
        <v>73</v>
      </c>
    </row>
    <row r="2" spans="1:7" hidden="1">
      <c r="A2" s="7"/>
      <c r="E2" t="s">
        <v>365</v>
      </c>
    </row>
    <row r="3" spans="1:7" hidden="1">
      <c r="A3" s="7"/>
    </row>
    <row r="4" spans="1:7" hidden="1">
      <c r="A4" s="20" t="s">
        <v>17</v>
      </c>
    </row>
    <row r="5" spans="1:7" hidden="1">
      <c r="A5" s="282" t="s">
        <v>74</v>
      </c>
      <c r="B5" s="281" t="s">
        <v>12</v>
      </c>
      <c r="C5" s="281" t="s">
        <v>97</v>
      </c>
      <c r="D5" s="281" t="s">
        <v>98</v>
      </c>
      <c r="E5" s="281" t="s">
        <v>99</v>
      </c>
      <c r="F5" s="281" t="s">
        <v>100</v>
      </c>
      <c r="G5" s="281" t="s">
        <v>101</v>
      </c>
    </row>
    <row r="6" spans="1:7" ht="38.25" hidden="1" customHeight="1">
      <c r="A6" s="282"/>
      <c r="B6" s="281"/>
      <c r="C6" s="281"/>
      <c r="D6" s="281"/>
      <c r="E6" s="281"/>
      <c r="F6" s="281"/>
      <c r="G6" s="281"/>
    </row>
    <row r="7" spans="1:7" hidden="1">
      <c r="A7" s="21" t="s">
        <v>75</v>
      </c>
      <c r="B7" s="4"/>
      <c r="C7" s="9"/>
      <c r="D7" s="9"/>
      <c r="E7" s="9"/>
      <c r="F7" s="9">
        <f>+C7+D7+E7</f>
        <v>0</v>
      </c>
      <c r="G7" s="9"/>
    </row>
    <row r="8" spans="1:7" hidden="1">
      <c r="A8" s="21" t="s">
        <v>76</v>
      </c>
      <c r="B8" s="4"/>
      <c r="C8" s="9"/>
      <c r="D8" s="9"/>
      <c r="E8" s="9"/>
      <c r="F8" s="9">
        <f t="shared" ref="F8:F31" si="0">+C8+D8+E8</f>
        <v>0</v>
      </c>
      <c r="G8" s="9"/>
    </row>
    <row r="9" spans="1:7" hidden="1">
      <c r="A9" s="18" t="s">
        <v>77</v>
      </c>
      <c r="B9" s="4"/>
      <c r="C9" s="9"/>
      <c r="D9" s="9"/>
      <c r="E9" s="9"/>
      <c r="F9" s="9">
        <f t="shared" si="0"/>
        <v>0</v>
      </c>
      <c r="G9" s="9"/>
    </row>
    <row r="10" spans="1:7" hidden="1">
      <c r="A10" s="18" t="s">
        <v>78</v>
      </c>
      <c r="B10" s="4"/>
      <c r="C10" s="9"/>
      <c r="D10" s="9"/>
      <c r="E10" s="9"/>
      <c r="F10" s="9">
        <f t="shared" si="0"/>
        <v>0</v>
      </c>
      <c r="G10" s="9"/>
    </row>
    <row r="11" spans="1:7" hidden="1">
      <c r="A11" s="18" t="s">
        <v>79</v>
      </c>
      <c r="B11" s="4"/>
      <c r="C11" s="9"/>
      <c r="D11" s="9"/>
      <c r="E11" s="9"/>
      <c r="F11" s="9">
        <f t="shared" si="0"/>
        <v>0</v>
      </c>
      <c r="G11" s="9"/>
    </row>
    <row r="12" spans="1:7" hidden="1">
      <c r="A12" s="15" t="s">
        <v>80</v>
      </c>
      <c r="B12" s="9"/>
      <c r="C12" s="9"/>
      <c r="D12" s="9"/>
      <c r="E12" s="9"/>
      <c r="F12" s="9">
        <f t="shared" si="0"/>
        <v>0</v>
      </c>
      <c r="G12" s="9">
        <f>+G13+G14+G15</f>
        <v>0</v>
      </c>
    </row>
    <row r="13" spans="1:7" hidden="1">
      <c r="A13" s="22" t="s">
        <v>81</v>
      </c>
      <c r="B13" s="4"/>
      <c r="C13" s="9"/>
      <c r="D13" s="9"/>
      <c r="E13" s="9"/>
      <c r="F13" s="9">
        <f t="shared" si="0"/>
        <v>0</v>
      </c>
      <c r="G13" s="9"/>
    </row>
    <row r="14" spans="1:7" hidden="1">
      <c r="A14" s="22" t="s">
        <v>82</v>
      </c>
      <c r="B14" s="4"/>
      <c r="C14" s="9"/>
      <c r="D14" s="9"/>
      <c r="E14" s="9"/>
      <c r="F14" s="9">
        <f t="shared" si="0"/>
        <v>0</v>
      </c>
      <c r="G14" s="9"/>
    </row>
    <row r="15" spans="1:7" hidden="1">
      <c r="A15" s="22" t="s">
        <v>83</v>
      </c>
      <c r="B15" s="4"/>
      <c r="C15" s="9"/>
      <c r="D15" s="9"/>
      <c r="E15" s="9"/>
      <c r="F15" s="9">
        <f t="shared" si="0"/>
        <v>0</v>
      </c>
      <c r="G15" s="9"/>
    </row>
    <row r="16" spans="1:7" hidden="1">
      <c r="A16" s="22"/>
      <c r="B16" s="4"/>
      <c r="C16" s="9"/>
      <c r="D16" s="9"/>
      <c r="E16" s="9"/>
      <c r="F16" s="9">
        <f t="shared" si="0"/>
        <v>0</v>
      </c>
      <c r="G16" s="9"/>
    </row>
    <row r="17" spans="1:7" hidden="1">
      <c r="A17" s="22" t="s">
        <v>84</v>
      </c>
      <c r="B17" s="4"/>
      <c r="C17" s="9"/>
      <c r="D17" s="9"/>
      <c r="E17" s="9"/>
      <c r="F17" s="9">
        <f t="shared" si="0"/>
        <v>0</v>
      </c>
      <c r="G17" s="9"/>
    </row>
    <row r="18" spans="1:7" hidden="1">
      <c r="A18" s="22" t="s">
        <v>85</v>
      </c>
      <c r="B18" s="4"/>
      <c r="C18" s="9"/>
      <c r="D18" s="9"/>
      <c r="E18" s="9"/>
      <c r="F18" s="9">
        <f t="shared" si="0"/>
        <v>0</v>
      </c>
      <c r="G18" s="9"/>
    </row>
    <row r="19" spans="1:7" hidden="1">
      <c r="A19" s="22" t="s">
        <v>86</v>
      </c>
      <c r="B19" s="4"/>
      <c r="C19" s="9"/>
      <c r="D19" s="9"/>
      <c r="E19" s="9"/>
      <c r="F19" s="9">
        <f t="shared" si="0"/>
        <v>0</v>
      </c>
      <c r="G19" s="9"/>
    </row>
    <row r="20" spans="1:7" hidden="1">
      <c r="A20" s="22" t="s">
        <v>62</v>
      </c>
      <c r="B20" s="4"/>
      <c r="C20" s="9"/>
      <c r="D20" s="9"/>
      <c r="E20" s="9"/>
      <c r="F20" s="9">
        <f t="shared" si="0"/>
        <v>0</v>
      </c>
      <c r="G20" s="9"/>
    </row>
    <row r="21" spans="1:7" hidden="1">
      <c r="A21" s="15" t="s">
        <v>87</v>
      </c>
      <c r="B21" s="9"/>
      <c r="C21" s="9"/>
      <c r="D21" s="9"/>
      <c r="E21" s="9"/>
      <c r="F21" s="9">
        <f t="shared" si="0"/>
        <v>0</v>
      </c>
      <c r="G21" s="9">
        <f>+G22+G23+G24</f>
        <v>0</v>
      </c>
    </row>
    <row r="22" spans="1:7" hidden="1">
      <c r="A22" s="14" t="s">
        <v>88</v>
      </c>
      <c r="B22" s="4"/>
      <c r="C22" s="9"/>
      <c r="D22" s="9"/>
      <c r="E22" s="9"/>
      <c r="F22" s="9">
        <f t="shared" si="0"/>
        <v>0</v>
      </c>
      <c r="G22" s="9"/>
    </row>
    <row r="23" spans="1:7" hidden="1">
      <c r="A23" s="14" t="s">
        <v>89</v>
      </c>
      <c r="B23" s="4"/>
      <c r="C23" s="9"/>
      <c r="D23" s="9"/>
      <c r="E23" s="9"/>
      <c r="F23" s="9">
        <f t="shared" si="0"/>
        <v>0</v>
      </c>
      <c r="G23" s="9"/>
    </row>
    <row r="24" spans="1:7" hidden="1">
      <c r="A24" s="22" t="s">
        <v>90</v>
      </c>
      <c r="B24" s="4"/>
      <c r="C24" s="9"/>
      <c r="D24" s="9"/>
      <c r="E24" s="9"/>
      <c r="F24" s="9">
        <f t="shared" si="0"/>
        <v>0</v>
      </c>
      <c r="G24" s="9"/>
    </row>
    <row r="25" spans="1:7" hidden="1">
      <c r="A25" s="22" t="s">
        <v>62</v>
      </c>
      <c r="B25" s="4"/>
      <c r="C25" s="9"/>
      <c r="D25" s="9"/>
      <c r="E25" s="9"/>
      <c r="F25" s="9">
        <f t="shared" si="0"/>
        <v>0</v>
      </c>
      <c r="G25" s="9"/>
    </row>
    <row r="26" spans="1:7" hidden="1">
      <c r="A26" s="23" t="s">
        <v>91</v>
      </c>
      <c r="B26" s="4"/>
      <c r="C26" s="9"/>
      <c r="D26" s="9"/>
      <c r="E26" s="9"/>
      <c r="F26" s="9">
        <f t="shared" si="0"/>
        <v>0</v>
      </c>
      <c r="G26" s="9"/>
    </row>
    <row r="27" spans="1:7" hidden="1">
      <c r="A27" s="23" t="s">
        <v>92</v>
      </c>
      <c r="B27" s="4"/>
      <c r="C27" s="9"/>
      <c r="D27" s="9"/>
      <c r="E27" s="9"/>
      <c r="F27" s="9">
        <f t="shared" si="0"/>
        <v>0</v>
      </c>
      <c r="G27" s="9"/>
    </row>
    <row r="28" spans="1:7" hidden="1">
      <c r="A28" s="23" t="s">
        <v>93</v>
      </c>
      <c r="B28" s="4"/>
      <c r="C28" s="9"/>
      <c r="D28" s="9"/>
      <c r="E28" s="9"/>
      <c r="F28" s="9">
        <f t="shared" si="0"/>
        <v>0</v>
      </c>
      <c r="G28" s="9"/>
    </row>
    <row r="29" spans="1:7" hidden="1">
      <c r="A29" s="23" t="s">
        <v>94</v>
      </c>
      <c r="B29" s="4"/>
      <c r="C29" s="9"/>
      <c r="D29" s="9"/>
      <c r="E29" s="9"/>
      <c r="F29" s="9">
        <f t="shared" si="0"/>
        <v>0</v>
      </c>
      <c r="G29" s="9"/>
    </row>
    <row r="30" spans="1:7" hidden="1">
      <c r="A30" s="23" t="s">
        <v>62</v>
      </c>
      <c r="B30" s="4"/>
      <c r="C30" s="9"/>
      <c r="D30" s="9"/>
      <c r="E30" s="9"/>
      <c r="F30" s="9">
        <f t="shared" si="0"/>
        <v>0</v>
      </c>
      <c r="G30" s="9"/>
    </row>
    <row r="31" spans="1:7" hidden="1">
      <c r="A31" s="23" t="s">
        <v>95</v>
      </c>
      <c r="B31" s="4"/>
      <c r="C31" s="9"/>
      <c r="D31" s="9"/>
      <c r="E31" s="9"/>
      <c r="F31" s="9">
        <f t="shared" si="0"/>
        <v>0</v>
      </c>
      <c r="G31" s="9"/>
    </row>
    <row r="32" spans="1:7" ht="20.25" hidden="1" customHeight="1">
      <c r="A32" s="122" t="s">
        <v>96</v>
      </c>
      <c r="B32" s="122"/>
      <c r="C32" s="155">
        <f>+C7+C8+C9+C10+C11+C12+C17+C18+C19+C20+C21+C26+C27+C28+C29+C30+C31</f>
        <v>0</v>
      </c>
      <c r="D32" s="155">
        <f>+D7+D8+D9+D10+D11+D12+D17+D18+D19+D20+D21+D26+D27+D28+D29+D30+D31</f>
        <v>0</v>
      </c>
      <c r="E32" s="155">
        <f>+E7+E8+E9+E10+E11+E12+E17+E18+E19+E20+E21+E26+E27+E28+E29+E30+E31</f>
        <v>0</v>
      </c>
      <c r="F32" s="155">
        <f>+F7+F8+F9+F10+F11+F12+F17+F18+F19+F20+F21+F26+F27+F28+F29+F30+F31</f>
        <v>0</v>
      </c>
      <c r="G32" s="154"/>
    </row>
    <row r="33" spans="1:10" hidden="1">
      <c r="C33" s="16"/>
      <c r="D33" s="16"/>
      <c r="E33" s="16"/>
      <c r="F33" s="16"/>
      <c r="G33" s="16"/>
    </row>
    <row r="34" spans="1:10" hidden="1">
      <c r="C34" s="16"/>
      <c r="D34" s="16"/>
      <c r="E34" s="16"/>
      <c r="F34" s="16"/>
      <c r="G34" s="16"/>
    </row>
    <row r="35" spans="1:10" hidden="1">
      <c r="C35" s="16"/>
      <c r="D35" s="16"/>
      <c r="E35" s="16"/>
      <c r="F35" s="16"/>
      <c r="G35" s="16"/>
    </row>
    <row r="36" spans="1:10" hidden="1">
      <c r="A36" s="20" t="s">
        <v>18</v>
      </c>
      <c r="C36" s="16"/>
      <c r="D36" s="16"/>
      <c r="E36" t="s">
        <v>365</v>
      </c>
      <c r="F36" s="16"/>
      <c r="G36" s="16"/>
    </row>
    <row r="37" spans="1:10" hidden="1">
      <c r="A37" s="282" t="s">
        <v>74</v>
      </c>
      <c r="B37" s="281" t="s">
        <v>12</v>
      </c>
      <c r="C37" s="281" t="s">
        <v>97</v>
      </c>
      <c r="D37" s="281" t="s">
        <v>98</v>
      </c>
      <c r="E37" s="281" t="s">
        <v>99</v>
      </c>
      <c r="F37" s="281" t="s">
        <v>100</v>
      </c>
      <c r="G37" s="281" t="s">
        <v>101</v>
      </c>
    </row>
    <row r="38" spans="1:10" ht="38.25" hidden="1" customHeight="1">
      <c r="A38" s="282"/>
      <c r="B38" s="281"/>
      <c r="C38" s="281"/>
      <c r="D38" s="281"/>
      <c r="E38" s="281"/>
      <c r="F38" s="281"/>
      <c r="G38" s="281"/>
    </row>
    <row r="39" spans="1:10" hidden="1">
      <c r="A39" s="21" t="s">
        <v>75</v>
      </c>
      <c r="B39" s="4"/>
      <c r="C39" s="9">
        <v>17.37</v>
      </c>
      <c r="D39" s="9">
        <v>0.51</v>
      </c>
      <c r="E39" s="9"/>
      <c r="F39" s="9">
        <f>+C39+D39+E39</f>
        <v>17.880000000000003</v>
      </c>
      <c r="G39" s="9"/>
      <c r="J39" s="16">
        <f>+F39/$F$64*100</f>
        <v>0.32453212377960128</v>
      </c>
    </row>
    <row r="40" spans="1:10" hidden="1">
      <c r="A40" s="21" t="s">
        <v>76</v>
      </c>
      <c r="B40" s="4"/>
      <c r="C40" s="9">
        <v>75.099999999999994</v>
      </c>
      <c r="D40" s="9">
        <v>19.670000000000002</v>
      </c>
      <c r="E40" s="9"/>
      <c r="F40" s="9">
        <f t="shared" ref="F40:F63" si="1">+C40+D40+E40</f>
        <v>94.77</v>
      </c>
      <c r="G40" s="9"/>
      <c r="J40" s="16">
        <f t="shared" ref="J40:J64" si="2">+F40/$F$64*100</f>
        <v>1.7201291594291279</v>
      </c>
    </row>
    <row r="41" spans="1:10" hidden="1">
      <c r="A41" s="18" t="s">
        <v>77</v>
      </c>
      <c r="B41" s="4"/>
      <c r="C41" s="9">
        <f t="shared" ref="C41:C63" si="3">+F9</f>
        <v>0</v>
      </c>
      <c r="D41" s="9"/>
      <c r="E41" s="9"/>
      <c r="F41" s="9">
        <f t="shared" si="1"/>
        <v>0</v>
      </c>
      <c r="G41" s="9"/>
      <c r="J41" s="16">
        <f t="shared" si="2"/>
        <v>0</v>
      </c>
    </row>
    <row r="42" spans="1:10" hidden="1">
      <c r="A42" s="18" t="s">
        <v>78</v>
      </c>
      <c r="B42" s="4"/>
      <c r="C42" s="9">
        <f t="shared" si="3"/>
        <v>0</v>
      </c>
      <c r="D42" s="9"/>
      <c r="E42" s="9"/>
      <c r="F42" s="9">
        <f t="shared" si="1"/>
        <v>0</v>
      </c>
      <c r="G42" s="9"/>
      <c r="J42" s="16">
        <f t="shared" si="2"/>
        <v>0</v>
      </c>
    </row>
    <row r="43" spans="1:10" hidden="1">
      <c r="A43" s="18" t="s">
        <v>79</v>
      </c>
      <c r="B43" s="4"/>
      <c r="C43" s="9">
        <v>3.47</v>
      </c>
      <c r="D43" s="9">
        <v>5.41</v>
      </c>
      <c r="E43" s="9"/>
      <c r="F43" s="9">
        <f t="shared" si="1"/>
        <v>8.8800000000000008</v>
      </c>
      <c r="G43" s="9"/>
      <c r="J43" s="16">
        <f t="shared" si="2"/>
        <v>0.16117702791738586</v>
      </c>
    </row>
    <row r="44" spans="1:10" hidden="1">
      <c r="A44" s="15" t="s">
        <v>80</v>
      </c>
      <c r="B44" s="9"/>
      <c r="C44" s="9">
        <f>2586.9-61.65</f>
        <v>2525.25</v>
      </c>
      <c r="D44" s="9">
        <f>139.7-0.38</f>
        <v>139.32</v>
      </c>
      <c r="E44" s="9"/>
      <c r="F44" s="9">
        <f t="shared" si="1"/>
        <v>2664.57</v>
      </c>
      <c r="G44" s="9"/>
      <c r="J44" s="16">
        <f t="shared" si="2"/>
        <v>48.3634541979537</v>
      </c>
    </row>
    <row r="45" spans="1:10" hidden="1">
      <c r="A45" s="22" t="s">
        <v>81</v>
      </c>
      <c r="B45" s="4"/>
      <c r="C45" s="9">
        <f t="shared" si="3"/>
        <v>0</v>
      </c>
      <c r="D45" s="9"/>
      <c r="E45" s="9"/>
      <c r="F45" s="9">
        <f t="shared" si="1"/>
        <v>0</v>
      </c>
      <c r="G45" s="9"/>
      <c r="J45" s="16">
        <f t="shared" si="2"/>
        <v>0</v>
      </c>
    </row>
    <row r="46" spans="1:10" hidden="1">
      <c r="A46" s="22" t="s">
        <v>82</v>
      </c>
      <c r="B46" s="4"/>
      <c r="C46" s="9">
        <f t="shared" si="3"/>
        <v>0</v>
      </c>
      <c r="D46" s="9"/>
      <c r="E46" s="9"/>
      <c r="F46" s="9">
        <f t="shared" si="1"/>
        <v>0</v>
      </c>
      <c r="G46" s="9"/>
      <c r="J46" s="16">
        <f t="shared" si="2"/>
        <v>0</v>
      </c>
    </row>
    <row r="47" spans="1:10" hidden="1">
      <c r="A47" s="22" t="s">
        <v>83</v>
      </c>
      <c r="B47" s="4"/>
      <c r="C47" s="9">
        <f t="shared" si="3"/>
        <v>0</v>
      </c>
      <c r="D47" s="9"/>
      <c r="E47" s="9"/>
      <c r="F47" s="9">
        <f t="shared" si="1"/>
        <v>0</v>
      </c>
      <c r="G47" s="9"/>
      <c r="J47" s="16">
        <f t="shared" si="2"/>
        <v>0</v>
      </c>
    </row>
    <row r="48" spans="1:10" hidden="1">
      <c r="A48" s="22"/>
      <c r="B48" s="4"/>
      <c r="C48" s="9">
        <f t="shared" si="3"/>
        <v>0</v>
      </c>
      <c r="D48" s="9"/>
      <c r="E48" s="9"/>
      <c r="F48" s="9">
        <f t="shared" si="1"/>
        <v>0</v>
      </c>
      <c r="G48" s="9"/>
      <c r="J48" s="16">
        <f t="shared" si="2"/>
        <v>0</v>
      </c>
    </row>
    <row r="49" spans="1:10" hidden="1">
      <c r="A49" s="22" t="s">
        <v>84</v>
      </c>
      <c r="B49" s="4"/>
      <c r="C49" s="9">
        <f t="shared" si="3"/>
        <v>0</v>
      </c>
      <c r="D49" s="9"/>
      <c r="E49" s="9"/>
      <c r="F49" s="9">
        <f t="shared" si="1"/>
        <v>0</v>
      </c>
      <c r="G49" s="9"/>
      <c r="J49" s="16">
        <f t="shared" si="2"/>
        <v>0</v>
      </c>
    </row>
    <row r="50" spans="1:10" hidden="1">
      <c r="A50" s="22" t="s">
        <v>85</v>
      </c>
      <c r="B50" s="4"/>
      <c r="C50" s="9">
        <f t="shared" si="3"/>
        <v>0</v>
      </c>
      <c r="D50" s="9"/>
      <c r="E50" s="9"/>
      <c r="F50" s="9">
        <f t="shared" si="1"/>
        <v>0</v>
      </c>
      <c r="G50" s="9"/>
      <c r="J50" s="16">
        <f t="shared" si="2"/>
        <v>0</v>
      </c>
    </row>
    <row r="51" spans="1:10" hidden="1">
      <c r="A51" s="22" t="s">
        <v>86</v>
      </c>
      <c r="B51" s="4"/>
      <c r="C51" s="9">
        <f t="shared" si="3"/>
        <v>0</v>
      </c>
      <c r="D51" s="9"/>
      <c r="E51" s="9"/>
      <c r="F51" s="9">
        <f t="shared" si="1"/>
        <v>0</v>
      </c>
      <c r="G51" s="9"/>
      <c r="J51" s="16">
        <f t="shared" si="2"/>
        <v>0</v>
      </c>
    </row>
    <row r="52" spans="1:10" hidden="1">
      <c r="A52" s="22" t="s">
        <v>62</v>
      </c>
      <c r="B52" s="4"/>
      <c r="C52" s="9">
        <f t="shared" si="3"/>
        <v>0</v>
      </c>
      <c r="D52" s="9"/>
      <c r="E52" s="9"/>
      <c r="F52" s="9">
        <f t="shared" si="1"/>
        <v>0</v>
      </c>
      <c r="G52" s="9"/>
      <c r="J52" s="16">
        <f t="shared" si="2"/>
        <v>0</v>
      </c>
    </row>
    <row r="53" spans="1:10" hidden="1">
      <c r="A53" s="15" t="s">
        <v>87</v>
      </c>
      <c r="B53" s="9"/>
      <c r="C53" s="9">
        <v>2173.0500000000002</v>
      </c>
      <c r="D53" s="9">
        <v>523.41999999999996</v>
      </c>
      <c r="E53" s="9"/>
      <c r="F53" s="9">
        <f t="shared" si="1"/>
        <v>2696.4700000000003</v>
      </c>
      <c r="G53" s="9"/>
      <c r="J53" s="16">
        <f t="shared" si="2"/>
        <v>48.942457259954217</v>
      </c>
    </row>
    <row r="54" spans="1:10" hidden="1">
      <c r="A54" s="14" t="s">
        <v>88</v>
      </c>
      <c r="B54" s="4"/>
      <c r="C54" s="9">
        <f t="shared" si="3"/>
        <v>0</v>
      </c>
      <c r="D54" s="9"/>
      <c r="E54" s="9"/>
      <c r="F54" s="9">
        <f t="shared" si="1"/>
        <v>0</v>
      </c>
      <c r="G54" s="9"/>
      <c r="J54" s="16">
        <f t="shared" si="2"/>
        <v>0</v>
      </c>
    </row>
    <row r="55" spans="1:10" hidden="1">
      <c r="A55" s="14" t="s">
        <v>89</v>
      </c>
      <c r="B55" s="4"/>
      <c r="C55" s="9">
        <f t="shared" si="3"/>
        <v>0</v>
      </c>
      <c r="D55" s="9"/>
      <c r="E55" s="9"/>
      <c r="F55" s="9">
        <f t="shared" si="1"/>
        <v>0</v>
      </c>
      <c r="G55" s="9"/>
      <c r="J55" s="16">
        <f t="shared" si="2"/>
        <v>0</v>
      </c>
    </row>
    <row r="56" spans="1:10" hidden="1">
      <c r="A56" s="22" t="s">
        <v>90</v>
      </c>
      <c r="B56" s="4"/>
      <c r="C56" s="9">
        <f t="shared" si="3"/>
        <v>0</v>
      </c>
      <c r="D56" s="9"/>
      <c r="E56" s="9"/>
      <c r="F56" s="9">
        <f t="shared" si="1"/>
        <v>0</v>
      </c>
      <c r="G56" s="9"/>
      <c r="J56" s="16">
        <f t="shared" si="2"/>
        <v>0</v>
      </c>
    </row>
    <row r="57" spans="1:10" hidden="1">
      <c r="A57" s="22" t="s">
        <v>62</v>
      </c>
      <c r="B57" s="4"/>
      <c r="C57" s="9">
        <f t="shared" si="3"/>
        <v>0</v>
      </c>
      <c r="D57" s="9"/>
      <c r="E57" s="9"/>
      <c r="F57" s="9">
        <f t="shared" si="1"/>
        <v>0</v>
      </c>
      <c r="G57" s="9"/>
      <c r="J57" s="16">
        <f t="shared" si="2"/>
        <v>0</v>
      </c>
    </row>
    <row r="58" spans="1:10" hidden="1">
      <c r="A58" s="23" t="s">
        <v>91</v>
      </c>
      <c r="B58" s="4"/>
      <c r="C58" s="9">
        <v>1.7</v>
      </c>
      <c r="D58" s="9">
        <v>0.32</v>
      </c>
      <c r="E58" s="9"/>
      <c r="F58" s="9">
        <f t="shared" si="1"/>
        <v>2.02</v>
      </c>
      <c r="G58" s="9"/>
      <c r="J58" s="16">
        <f t="shared" si="2"/>
        <v>3.6664143737963895E-2</v>
      </c>
    </row>
    <row r="59" spans="1:10" hidden="1">
      <c r="A59" s="23" t="s">
        <v>92</v>
      </c>
      <c r="B59" s="4"/>
      <c r="C59" s="9">
        <f>1.71-0.13</f>
        <v>1.58</v>
      </c>
      <c r="D59" s="9">
        <v>0.02</v>
      </c>
      <c r="E59" s="9"/>
      <c r="F59" s="9">
        <f t="shared" si="1"/>
        <v>1.6</v>
      </c>
      <c r="G59" s="9"/>
      <c r="J59" s="16">
        <f t="shared" si="2"/>
        <v>2.9040905931060512E-2</v>
      </c>
    </row>
    <row r="60" spans="1:10" hidden="1">
      <c r="A60" s="23" t="s">
        <v>93</v>
      </c>
      <c r="B60" s="4"/>
      <c r="C60" s="9">
        <f>24.09-1.63</f>
        <v>22.46</v>
      </c>
      <c r="D60" s="9">
        <f>1.15-0.33</f>
        <v>0.81999999999999984</v>
      </c>
      <c r="E60" s="9"/>
      <c r="F60" s="9">
        <f t="shared" si="1"/>
        <v>23.28</v>
      </c>
      <c r="G60" s="9"/>
      <c r="J60" s="16">
        <f t="shared" si="2"/>
        <v>0.42254518129693047</v>
      </c>
    </row>
    <row r="61" spans="1:10" hidden="1">
      <c r="A61" s="23" t="s">
        <v>94</v>
      </c>
      <c r="B61" s="4"/>
      <c r="C61" s="9">
        <f t="shared" si="3"/>
        <v>0</v>
      </c>
      <c r="D61" s="9"/>
      <c r="E61" s="9"/>
      <c r="F61" s="9">
        <f t="shared" si="1"/>
        <v>0</v>
      </c>
      <c r="G61" s="9"/>
      <c r="J61" s="16">
        <f t="shared" si="2"/>
        <v>0</v>
      </c>
    </row>
    <row r="62" spans="1:10" hidden="1">
      <c r="A62" s="23" t="s">
        <v>62</v>
      </c>
      <c r="B62" s="4"/>
      <c r="C62" s="9">
        <f t="shared" si="3"/>
        <v>0</v>
      </c>
      <c r="D62" s="9"/>
      <c r="E62" s="9"/>
      <c r="F62" s="9">
        <f t="shared" si="1"/>
        <v>0</v>
      </c>
      <c r="G62" s="9"/>
      <c r="J62" s="16">
        <f t="shared" si="2"/>
        <v>0</v>
      </c>
    </row>
    <row r="63" spans="1:10" hidden="1">
      <c r="A63" s="23" t="s">
        <v>95</v>
      </c>
      <c r="B63" s="4"/>
      <c r="C63" s="9">
        <f t="shared" si="3"/>
        <v>0</v>
      </c>
      <c r="D63" s="9"/>
      <c r="E63" s="9"/>
      <c r="F63" s="9">
        <f t="shared" si="1"/>
        <v>0</v>
      </c>
      <c r="G63" s="9"/>
      <c r="J63" s="16">
        <f t="shared" si="2"/>
        <v>0</v>
      </c>
    </row>
    <row r="64" spans="1:10" ht="20.25" hidden="1" customHeight="1">
      <c r="A64" s="122" t="s">
        <v>96</v>
      </c>
      <c r="B64" s="122"/>
      <c r="C64" s="155">
        <f>+C39+C40+C41+C42+C43+C44+C49+C50+C51+C52+C53+C58+C59+C60+C61+C62+C63</f>
        <v>4819.9799999999996</v>
      </c>
      <c r="D64" s="155">
        <f>+D39+D40+D41+D42+D43+D44+D49+D50+D51+D52+D53+D58+D59+D60+D61+D62+D63</f>
        <v>689.49</v>
      </c>
      <c r="E64" s="155">
        <f>+E39+E40+E41+E42+E43+E44+E49+E50+E51+E52+E53+E58+E59+E60+E61+E62+E63</f>
        <v>0</v>
      </c>
      <c r="F64" s="155">
        <f>+F39+F40+F41+F42+F43+F44+F49+F50+F51+F52+F53+F58+F59+F60+F61+F62+F63</f>
        <v>5509.4700000000012</v>
      </c>
      <c r="G64" s="154"/>
      <c r="J64" s="16">
        <f t="shared" si="2"/>
        <v>100</v>
      </c>
    </row>
    <row r="65" spans="1:10" hidden="1">
      <c r="C65" s="16"/>
      <c r="D65" s="16"/>
      <c r="E65" s="16"/>
      <c r="F65" s="16"/>
      <c r="G65" s="16"/>
    </row>
    <row r="66" spans="1:10" hidden="1">
      <c r="C66" s="16"/>
      <c r="D66" s="16"/>
      <c r="E66" s="16"/>
      <c r="F66" s="16"/>
      <c r="G66" s="16"/>
    </row>
    <row r="67" spans="1:10" hidden="1">
      <c r="C67" s="16"/>
      <c r="D67" s="16"/>
      <c r="E67" s="16"/>
      <c r="F67" s="16"/>
      <c r="G67" s="16"/>
    </row>
    <row r="68" spans="1:10" hidden="1">
      <c r="A68" s="20" t="s">
        <v>19</v>
      </c>
      <c r="C68" s="16"/>
      <c r="D68" s="16"/>
      <c r="E68" t="s">
        <v>365</v>
      </c>
      <c r="F68" s="16"/>
      <c r="G68" s="16"/>
    </row>
    <row r="69" spans="1:10" hidden="1">
      <c r="A69" s="282" t="s">
        <v>74</v>
      </c>
      <c r="B69" s="281" t="s">
        <v>12</v>
      </c>
      <c r="C69" s="281" t="s">
        <v>97</v>
      </c>
      <c r="D69" s="281" t="s">
        <v>98</v>
      </c>
      <c r="E69" s="281" t="s">
        <v>99</v>
      </c>
      <c r="F69" s="281" t="s">
        <v>100</v>
      </c>
      <c r="G69" s="281" t="s">
        <v>101</v>
      </c>
    </row>
    <row r="70" spans="1:10" ht="38.25" hidden="1" customHeight="1">
      <c r="A70" s="282"/>
      <c r="B70" s="281"/>
      <c r="C70" s="281"/>
      <c r="D70" s="281"/>
      <c r="E70" s="281"/>
      <c r="F70" s="281"/>
      <c r="G70" s="281"/>
    </row>
    <row r="71" spans="1:10" hidden="1">
      <c r="A71" s="21" t="s">
        <v>75</v>
      </c>
      <c r="B71" s="4"/>
      <c r="C71" s="9">
        <f t="shared" ref="C71:C95" si="4">+F39</f>
        <v>17.880000000000003</v>
      </c>
      <c r="D71" s="9">
        <v>37.32</v>
      </c>
      <c r="E71" s="9"/>
      <c r="F71" s="9">
        <f>+C71+D71+E71</f>
        <v>55.2</v>
      </c>
      <c r="G71" s="9"/>
      <c r="J71" s="16">
        <f>+F71/$F$96*100</f>
        <v>0.74025895652990203</v>
      </c>
    </row>
    <row r="72" spans="1:10" hidden="1">
      <c r="A72" s="21" t="s">
        <v>76</v>
      </c>
      <c r="B72" s="4"/>
      <c r="C72" s="9">
        <f t="shared" si="4"/>
        <v>94.77</v>
      </c>
      <c r="D72" s="9">
        <v>0.74</v>
      </c>
      <c r="E72" s="9"/>
      <c r="F72" s="9">
        <f t="shared" ref="F72:F95" si="5">+C72+D72+E72</f>
        <v>95.509999999999991</v>
      </c>
      <c r="G72" s="9"/>
      <c r="J72" s="16">
        <f t="shared" ref="J72:J96" si="6">+F72/$F$96*100</f>
        <v>1.2808357416335314</v>
      </c>
    </row>
    <row r="73" spans="1:10" hidden="1">
      <c r="A73" s="18" t="s">
        <v>77</v>
      </c>
      <c r="B73" s="4"/>
      <c r="C73" s="9">
        <f t="shared" si="4"/>
        <v>0</v>
      </c>
      <c r="D73" s="9"/>
      <c r="E73" s="9"/>
      <c r="F73" s="9">
        <f t="shared" si="5"/>
        <v>0</v>
      </c>
      <c r="G73" s="9"/>
      <c r="J73" s="16">
        <f t="shared" si="6"/>
        <v>0</v>
      </c>
    </row>
    <row r="74" spans="1:10" hidden="1">
      <c r="A74" s="18" t="s">
        <v>78</v>
      </c>
      <c r="B74" s="4"/>
      <c r="C74" s="9">
        <f t="shared" si="4"/>
        <v>0</v>
      </c>
      <c r="D74" s="9"/>
      <c r="E74" s="9"/>
      <c r="F74" s="9">
        <f t="shared" si="5"/>
        <v>0</v>
      </c>
      <c r="G74" s="9"/>
      <c r="J74" s="16">
        <f t="shared" si="6"/>
        <v>0</v>
      </c>
    </row>
    <row r="75" spans="1:10" hidden="1">
      <c r="A75" s="18" t="s">
        <v>79</v>
      </c>
      <c r="B75" s="4"/>
      <c r="C75" s="9">
        <f t="shared" si="4"/>
        <v>8.8800000000000008</v>
      </c>
      <c r="D75" s="9">
        <v>4.12</v>
      </c>
      <c r="E75" s="9"/>
      <c r="F75" s="9">
        <f t="shared" si="5"/>
        <v>13</v>
      </c>
      <c r="G75" s="9"/>
      <c r="J75" s="16">
        <f t="shared" si="6"/>
        <v>0.17433634845812909</v>
      </c>
    </row>
    <row r="76" spans="1:10" hidden="1">
      <c r="A76" s="15" t="s">
        <v>80</v>
      </c>
      <c r="B76" s="9"/>
      <c r="C76" s="9">
        <f t="shared" si="4"/>
        <v>2664.57</v>
      </c>
      <c r="D76" s="9">
        <f>660.52-0.05</f>
        <v>660.47</v>
      </c>
      <c r="E76" s="9">
        <v>0</v>
      </c>
      <c r="F76" s="9">
        <f t="shared" si="5"/>
        <v>3325.04</v>
      </c>
      <c r="G76" s="9">
        <f>+G77+G78+G79</f>
        <v>0</v>
      </c>
      <c r="J76" s="16">
        <f t="shared" si="6"/>
        <v>44.590410159785968</v>
      </c>
    </row>
    <row r="77" spans="1:10" hidden="1">
      <c r="A77" s="22" t="s">
        <v>81</v>
      </c>
      <c r="B77" s="4"/>
      <c r="C77" s="9">
        <f t="shared" si="4"/>
        <v>0</v>
      </c>
      <c r="D77" s="9"/>
      <c r="E77" s="9"/>
      <c r="F77" s="9">
        <f t="shared" si="5"/>
        <v>0</v>
      </c>
      <c r="G77" s="9"/>
      <c r="J77" s="16">
        <f t="shared" si="6"/>
        <v>0</v>
      </c>
    </row>
    <row r="78" spans="1:10" hidden="1">
      <c r="A78" s="22" t="s">
        <v>82</v>
      </c>
      <c r="B78" s="4"/>
      <c r="C78" s="9">
        <f t="shared" si="4"/>
        <v>0</v>
      </c>
      <c r="D78" s="9"/>
      <c r="E78" s="9"/>
      <c r="F78" s="9">
        <f t="shared" si="5"/>
        <v>0</v>
      </c>
      <c r="G78" s="9"/>
      <c r="J78" s="16">
        <f t="shared" si="6"/>
        <v>0</v>
      </c>
    </row>
    <row r="79" spans="1:10" hidden="1">
      <c r="A79" s="22" t="s">
        <v>83</v>
      </c>
      <c r="B79" s="4"/>
      <c r="C79" s="9">
        <f t="shared" si="4"/>
        <v>0</v>
      </c>
      <c r="D79" s="9"/>
      <c r="E79" s="9"/>
      <c r="F79" s="9">
        <f t="shared" si="5"/>
        <v>0</v>
      </c>
      <c r="G79" s="9"/>
      <c r="J79" s="16">
        <f t="shared" si="6"/>
        <v>0</v>
      </c>
    </row>
    <row r="80" spans="1:10" hidden="1">
      <c r="A80" s="22"/>
      <c r="B80" s="4"/>
      <c r="C80" s="9">
        <f t="shared" si="4"/>
        <v>0</v>
      </c>
      <c r="D80" s="9"/>
      <c r="E80" s="9"/>
      <c r="F80" s="9">
        <f t="shared" si="5"/>
        <v>0</v>
      </c>
      <c r="G80" s="9"/>
      <c r="J80" s="16">
        <f t="shared" si="6"/>
        <v>0</v>
      </c>
    </row>
    <row r="81" spans="1:10" hidden="1">
      <c r="A81" s="22" t="s">
        <v>84</v>
      </c>
      <c r="B81" s="4"/>
      <c r="C81" s="9">
        <f t="shared" si="4"/>
        <v>0</v>
      </c>
      <c r="D81" s="9"/>
      <c r="E81" s="9"/>
      <c r="F81" s="9">
        <f t="shared" si="5"/>
        <v>0</v>
      </c>
      <c r="G81" s="9"/>
      <c r="J81" s="16">
        <f t="shared" si="6"/>
        <v>0</v>
      </c>
    </row>
    <row r="82" spans="1:10" hidden="1">
      <c r="A82" s="22" t="s">
        <v>85</v>
      </c>
      <c r="B82" s="4"/>
      <c r="C82" s="9">
        <f t="shared" si="4"/>
        <v>0</v>
      </c>
      <c r="D82" s="9"/>
      <c r="E82" s="9"/>
      <c r="F82" s="9">
        <f t="shared" si="5"/>
        <v>0</v>
      </c>
      <c r="G82" s="9"/>
      <c r="J82" s="16">
        <f t="shared" si="6"/>
        <v>0</v>
      </c>
    </row>
    <row r="83" spans="1:10" hidden="1">
      <c r="A83" s="22" t="s">
        <v>86</v>
      </c>
      <c r="B83" s="4"/>
      <c r="C83" s="9">
        <f t="shared" si="4"/>
        <v>0</v>
      </c>
      <c r="D83" s="9"/>
      <c r="E83" s="9"/>
      <c r="F83" s="9">
        <f t="shared" si="5"/>
        <v>0</v>
      </c>
      <c r="G83" s="9"/>
      <c r="J83" s="16">
        <f t="shared" si="6"/>
        <v>0</v>
      </c>
    </row>
    <row r="84" spans="1:10" hidden="1">
      <c r="A84" s="22" t="s">
        <v>62</v>
      </c>
      <c r="B84" s="4"/>
      <c r="C84" s="9">
        <f t="shared" si="4"/>
        <v>0</v>
      </c>
      <c r="D84" s="9"/>
      <c r="E84" s="9"/>
      <c r="F84" s="9">
        <f t="shared" si="5"/>
        <v>0</v>
      </c>
      <c r="G84" s="9"/>
      <c r="J84" s="16">
        <f t="shared" si="6"/>
        <v>0</v>
      </c>
    </row>
    <row r="85" spans="1:10" hidden="1">
      <c r="A85" s="15" t="s">
        <v>87</v>
      </c>
      <c r="B85" s="9"/>
      <c r="C85" s="9">
        <f t="shared" si="4"/>
        <v>2696.4700000000003</v>
      </c>
      <c r="D85" s="9">
        <v>1240.6500000000001</v>
      </c>
      <c r="E85" s="9">
        <f>+E86+E87+E88</f>
        <v>0</v>
      </c>
      <c r="F85" s="9">
        <f t="shared" si="5"/>
        <v>3937.1200000000003</v>
      </c>
      <c r="G85" s="9">
        <f>+G86+G87+G88</f>
        <v>0</v>
      </c>
      <c r="J85" s="16">
        <f t="shared" si="6"/>
        <v>52.7987018647284</v>
      </c>
    </row>
    <row r="86" spans="1:10" hidden="1">
      <c r="A86" s="14" t="s">
        <v>88</v>
      </c>
      <c r="B86" s="4"/>
      <c r="C86" s="9">
        <f t="shared" si="4"/>
        <v>0</v>
      </c>
      <c r="D86" s="9"/>
      <c r="E86" s="9"/>
      <c r="F86" s="9">
        <f t="shared" si="5"/>
        <v>0</v>
      </c>
      <c r="G86" s="9"/>
      <c r="J86" s="16">
        <f t="shared" si="6"/>
        <v>0</v>
      </c>
    </row>
    <row r="87" spans="1:10" hidden="1">
      <c r="A87" s="14" t="s">
        <v>89</v>
      </c>
      <c r="B87" s="4"/>
      <c r="C87" s="9">
        <f t="shared" si="4"/>
        <v>0</v>
      </c>
      <c r="D87" s="9"/>
      <c r="E87" s="9"/>
      <c r="F87" s="9">
        <f t="shared" si="5"/>
        <v>0</v>
      </c>
      <c r="G87" s="9"/>
      <c r="J87" s="16">
        <f t="shared" si="6"/>
        <v>0</v>
      </c>
    </row>
    <row r="88" spans="1:10" hidden="1">
      <c r="A88" s="22" t="s">
        <v>90</v>
      </c>
      <c r="B88" s="4"/>
      <c r="C88" s="9">
        <f t="shared" si="4"/>
        <v>0</v>
      </c>
      <c r="D88" s="9"/>
      <c r="E88" s="9"/>
      <c r="F88" s="9">
        <f t="shared" si="5"/>
        <v>0</v>
      </c>
      <c r="G88" s="9"/>
      <c r="J88" s="16">
        <f t="shared" si="6"/>
        <v>0</v>
      </c>
    </row>
    <row r="89" spans="1:10" hidden="1">
      <c r="A89" s="22" t="s">
        <v>62</v>
      </c>
      <c r="B89" s="4"/>
      <c r="C89" s="9">
        <f t="shared" si="4"/>
        <v>0</v>
      </c>
      <c r="D89" s="9"/>
      <c r="E89" s="9"/>
      <c r="F89" s="9">
        <f t="shared" si="5"/>
        <v>0</v>
      </c>
      <c r="G89" s="9"/>
      <c r="J89" s="16">
        <f t="shared" si="6"/>
        <v>0</v>
      </c>
    </row>
    <row r="90" spans="1:10" hidden="1">
      <c r="A90" s="23" t="s">
        <v>91</v>
      </c>
      <c r="B90" s="4"/>
      <c r="C90" s="9">
        <f t="shared" si="4"/>
        <v>2.02</v>
      </c>
      <c r="D90" s="9">
        <v>0.38</v>
      </c>
      <c r="E90" s="9">
        <v>-0.02</v>
      </c>
      <c r="F90" s="9">
        <f t="shared" si="5"/>
        <v>2.38</v>
      </c>
      <c r="G90" s="9"/>
      <c r="I90">
        <f>37.76-1.6</f>
        <v>36.159999999999997</v>
      </c>
      <c r="J90" s="16">
        <f t="shared" si="6"/>
        <v>3.1916962256180556E-2</v>
      </c>
    </row>
    <row r="91" spans="1:10" hidden="1">
      <c r="A91" s="23" t="s">
        <v>92</v>
      </c>
      <c r="B91" s="4"/>
      <c r="C91" s="9">
        <f t="shared" si="4"/>
        <v>1.6</v>
      </c>
      <c r="D91" s="9">
        <v>0.09</v>
      </c>
      <c r="E91" s="9"/>
      <c r="F91" s="9">
        <f t="shared" si="5"/>
        <v>1.6900000000000002</v>
      </c>
      <c r="G91" s="9"/>
      <c r="J91" s="16">
        <f t="shared" si="6"/>
        <v>2.2663725299556785E-2</v>
      </c>
    </row>
    <row r="92" spans="1:10" hidden="1">
      <c r="A92" s="23" t="s">
        <v>93</v>
      </c>
      <c r="B92" s="4"/>
      <c r="C92" s="9">
        <f t="shared" si="4"/>
        <v>23.28</v>
      </c>
      <c r="D92" s="9">
        <f>3.72-0.09</f>
        <v>3.6300000000000003</v>
      </c>
      <c r="E92" s="9"/>
      <c r="F92" s="9">
        <f t="shared" si="5"/>
        <v>26.91</v>
      </c>
      <c r="G92" s="9"/>
      <c r="J92" s="16">
        <f t="shared" si="6"/>
        <v>0.36087624130832724</v>
      </c>
    </row>
    <row r="93" spans="1:10" hidden="1">
      <c r="A93" s="23" t="s">
        <v>94</v>
      </c>
      <c r="B93" s="4"/>
      <c r="C93" s="9">
        <f t="shared" si="4"/>
        <v>0</v>
      </c>
      <c r="D93" s="9"/>
      <c r="E93" s="9"/>
      <c r="F93" s="9">
        <f t="shared" si="5"/>
        <v>0</v>
      </c>
      <c r="G93" s="9"/>
      <c r="J93" s="16">
        <f t="shared" si="6"/>
        <v>0</v>
      </c>
    </row>
    <row r="94" spans="1:10" hidden="1">
      <c r="A94" s="23" t="s">
        <v>62</v>
      </c>
      <c r="B94" s="4"/>
      <c r="C94" s="9">
        <f t="shared" si="4"/>
        <v>0</v>
      </c>
      <c r="D94" s="9"/>
      <c r="E94" s="9"/>
      <c r="F94" s="9">
        <f t="shared" si="5"/>
        <v>0</v>
      </c>
      <c r="G94" s="9"/>
      <c r="J94" s="16">
        <f t="shared" si="6"/>
        <v>0</v>
      </c>
    </row>
    <row r="95" spans="1:10" hidden="1">
      <c r="A95" s="23" t="s">
        <v>95</v>
      </c>
      <c r="B95" s="4"/>
      <c r="C95" s="9">
        <f t="shared" si="4"/>
        <v>0</v>
      </c>
      <c r="D95" s="9"/>
      <c r="E95" s="9"/>
      <c r="F95" s="9">
        <f t="shared" si="5"/>
        <v>0</v>
      </c>
      <c r="G95" s="9"/>
      <c r="J95" s="16">
        <f t="shared" si="6"/>
        <v>0</v>
      </c>
    </row>
    <row r="96" spans="1:10" ht="20.25" hidden="1" customHeight="1">
      <c r="A96" s="122" t="s">
        <v>96</v>
      </c>
      <c r="B96" s="122"/>
      <c r="C96" s="155">
        <f>+C71+C72+C73+C74+C75+C76+C81+C82+C83+C84+C85+C90+C91+C92+C93+C94+C95</f>
        <v>5509.4700000000012</v>
      </c>
      <c r="D96" s="155">
        <f>+D71+D72+D73+D74+D75+D76+D81+D82+D83+D84+D85+D90+D91+D92+D93+D94+D95</f>
        <v>1947.4000000000003</v>
      </c>
      <c r="E96" s="155">
        <f>+E71+E72+E73+E74+E75+E76+E81+E82+E83+E84+E85+E90+E91+E92+E93+E94+E95</f>
        <v>-0.02</v>
      </c>
      <c r="F96" s="155">
        <f>+F71+F72+F73+F74+F75+F76+F81+F82+F83+F84+F85+F90+F91+F92+F93+F94+F95</f>
        <v>7456.85</v>
      </c>
      <c r="G96" s="154"/>
      <c r="J96" s="16">
        <f t="shared" si="6"/>
        <v>100</v>
      </c>
    </row>
    <row r="97" spans="1:10" hidden="1">
      <c r="C97" s="16"/>
      <c r="D97" s="16"/>
      <c r="E97" s="16"/>
      <c r="F97" s="16"/>
      <c r="G97" s="16"/>
    </row>
    <row r="98" spans="1:10" hidden="1">
      <c r="C98" s="16"/>
      <c r="D98" s="16"/>
      <c r="E98" s="16"/>
      <c r="F98" s="16"/>
      <c r="G98" s="16"/>
    </row>
    <row r="99" spans="1:10" hidden="1">
      <c r="C99" s="16"/>
      <c r="D99" s="16"/>
      <c r="E99" s="16"/>
      <c r="F99" s="16"/>
      <c r="G99" s="16"/>
    </row>
    <row r="100" spans="1:10" hidden="1">
      <c r="A100" s="20" t="s">
        <v>20</v>
      </c>
      <c r="C100" s="16"/>
      <c r="D100" s="16"/>
      <c r="E100" t="s">
        <v>365</v>
      </c>
      <c r="F100" s="16"/>
      <c r="G100" s="16"/>
    </row>
    <row r="101" spans="1:10" hidden="1">
      <c r="A101" s="282" t="s">
        <v>74</v>
      </c>
      <c r="B101" s="281" t="s">
        <v>12</v>
      </c>
      <c r="C101" s="281" t="s">
        <v>97</v>
      </c>
      <c r="D101" s="281" t="s">
        <v>98</v>
      </c>
      <c r="E101" s="281" t="s">
        <v>99</v>
      </c>
      <c r="F101" s="281" t="s">
        <v>100</v>
      </c>
      <c r="G101" s="281" t="s">
        <v>101</v>
      </c>
    </row>
    <row r="102" spans="1:10" ht="38.25" hidden="1" customHeight="1">
      <c r="A102" s="282"/>
      <c r="B102" s="281"/>
      <c r="C102" s="281"/>
      <c r="D102" s="281"/>
      <c r="E102" s="281"/>
      <c r="F102" s="281"/>
      <c r="G102" s="281"/>
    </row>
    <row r="103" spans="1:10" hidden="1">
      <c r="A103" s="21" t="s">
        <v>75</v>
      </c>
      <c r="B103" s="4"/>
      <c r="C103" s="9">
        <f t="shared" ref="C103:C127" si="7">+F71</f>
        <v>55.2</v>
      </c>
      <c r="D103" s="9">
        <f>56.37-C103</f>
        <v>1.1699999999999946</v>
      </c>
      <c r="E103" s="9"/>
      <c r="F103" s="9">
        <f>+C103+D103+E103</f>
        <v>56.37</v>
      </c>
      <c r="G103" s="9"/>
      <c r="J103" s="156">
        <f>+F103/$F$128*100</f>
        <v>0.60966508977878131</v>
      </c>
    </row>
    <row r="104" spans="1:10" hidden="1">
      <c r="A104" s="21" t="s">
        <v>76</v>
      </c>
      <c r="B104" s="4"/>
      <c r="C104" s="9">
        <f t="shared" si="7"/>
        <v>95.509999999999991</v>
      </c>
      <c r="D104" s="9">
        <v>3.3</v>
      </c>
      <c r="E104" s="9"/>
      <c r="F104" s="9">
        <f t="shared" ref="F104:F127" si="8">+C104+D104+E104</f>
        <v>98.809999999999988</v>
      </c>
      <c r="G104" s="9"/>
      <c r="J104" s="156">
        <f t="shared" ref="J104:J127" si="9">+F104/$F$128*100</f>
        <v>1.0686714124719066</v>
      </c>
    </row>
    <row r="105" spans="1:10" hidden="1">
      <c r="A105" s="18" t="s">
        <v>77</v>
      </c>
      <c r="B105" s="4"/>
      <c r="C105" s="9">
        <f t="shared" si="7"/>
        <v>0</v>
      </c>
      <c r="D105" s="9"/>
      <c r="E105" s="9"/>
      <c r="F105" s="9">
        <f t="shared" si="8"/>
        <v>0</v>
      </c>
      <c r="G105" s="9"/>
      <c r="J105" s="156">
        <f t="shared" si="9"/>
        <v>0</v>
      </c>
    </row>
    <row r="106" spans="1:10" hidden="1">
      <c r="A106" s="18" t="s">
        <v>78</v>
      </c>
      <c r="B106" s="4"/>
      <c r="C106" s="9">
        <f t="shared" si="7"/>
        <v>0</v>
      </c>
      <c r="D106" s="9"/>
      <c r="E106" s="9"/>
      <c r="F106" s="9">
        <f t="shared" si="8"/>
        <v>0</v>
      </c>
      <c r="G106" s="9"/>
      <c r="J106" s="156">
        <f t="shared" si="9"/>
        <v>0</v>
      </c>
    </row>
    <row r="107" spans="1:10" hidden="1">
      <c r="A107" s="18" t="s">
        <v>79</v>
      </c>
      <c r="B107" s="4"/>
      <c r="C107" s="9">
        <f t="shared" si="7"/>
        <v>13</v>
      </c>
      <c r="D107" s="9">
        <v>2.4300000000000002</v>
      </c>
      <c r="E107" s="9"/>
      <c r="F107" s="9">
        <f t="shared" si="8"/>
        <v>15.43</v>
      </c>
      <c r="G107" s="9"/>
      <c r="J107" s="156">
        <f t="shared" si="9"/>
        <v>0.166881893476789</v>
      </c>
    </row>
    <row r="108" spans="1:10" hidden="1">
      <c r="A108" s="15" t="s">
        <v>80</v>
      </c>
      <c r="B108" s="9"/>
      <c r="C108" s="9">
        <f t="shared" si="7"/>
        <v>3325.04</v>
      </c>
      <c r="D108" s="9">
        <f>705.71-13.67</f>
        <v>692.04000000000008</v>
      </c>
      <c r="E108" s="9">
        <v>-0.91</v>
      </c>
      <c r="F108" s="9">
        <f t="shared" si="8"/>
        <v>4016.17</v>
      </c>
      <c r="G108" s="9">
        <f>+G109+G110+G111</f>
        <v>0</v>
      </c>
      <c r="J108" s="156">
        <f t="shared" si="9"/>
        <v>43.436555678851313</v>
      </c>
    </row>
    <row r="109" spans="1:10" hidden="1">
      <c r="A109" s="22" t="s">
        <v>81</v>
      </c>
      <c r="B109" s="4"/>
      <c r="C109" s="9">
        <f t="shared" si="7"/>
        <v>0</v>
      </c>
      <c r="D109" s="9"/>
      <c r="E109" s="9"/>
      <c r="F109" s="9">
        <f t="shared" si="8"/>
        <v>0</v>
      </c>
      <c r="G109" s="9"/>
      <c r="J109" s="156">
        <f t="shared" si="9"/>
        <v>0</v>
      </c>
    </row>
    <row r="110" spans="1:10" hidden="1">
      <c r="A110" s="22" t="s">
        <v>82</v>
      </c>
      <c r="B110" s="4"/>
      <c r="C110" s="9">
        <f t="shared" si="7"/>
        <v>0</v>
      </c>
      <c r="D110" s="9"/>
      <c r="E110" s="9"/>
      <c r="F110" s="9">
        <f t="shared" si="8"/>
        <v>0</v>
      </c>
      <c r="G110" s="9"/>
      <c r="J110" s="156">
        <f t="shared" si="9"/>
        <v>0</v>
      </c>
    </row>
    <row r="111" spans="1:10" hidden="1">
      <c r="A111" s="22" t="s">
        <v>83</v>
      </c>
      <c r="B111" s="4"/>
      <c r="C111" s="9">
        <f t="shared" si="7"/>
        <v>0</v>
      </c>
      <c r="D111" s="9"/>
      <c r="E111" s="9"/>
      <c r="F111" s="9">
        <f t="shared" si="8"/>
        <v>0</v>
      </c>
      <c r="G111" s="9"/>
      <c r="J111" s="156">
        <f t="shared" si="9"/>
        <v>0</v>
      </c>
    </row>
    <row r="112" spans="1:10" hidden="1">
      <c r="A112" s="22"/>
      <c r="B112" s="4"/>
      <c r="C112" s="9">
        <f t="shared" si="7"/>
        <v>0</v>
      </c>
      <c r="D112" s="9"/>
      <c r="E112" s="9"/>
      <c r="F112" s="9">
        <f t="shared" si="8"/>
        <v>0</v>
      </c>
      <c r="G112" s="9"/>
      <c r="J112" s="156">
        <f t="shared" si="9"/>
        <v>0</v>
      </c>
    </row>
    <row r="113" spans="1:10" hidden="1">
      <c r="A113" s="22" t="s">
        <v>84</v>
      </c>
      <c r="B113" s="4"/>
      <c r="C113" s="9">
        <f t="shared" si="7"/>
        <v>0</v>
      </c>
      <c r="D113" s="9"/>
      <c r="E113" s="9"/>
      <c r="F113" s="9">
        <f t="shared" si="8"/>
        <v>0</v>
      </c>
      <c r="G113" s="9"/>
      <c r="J113" s="156">
        <f t="shared" si="9"/>
        <v>0</v>
      </c>
    </row>
    <row r="114" spans="1:10" hidden="1">
      <c r="A114" s="22" t="s">
        <v>85</v>
      </c>
      <c r="B114" s="4"/>
      <c r="C114" s="9">
        <f t="shared" si="7"/>
        <v>0</v>
      </c>
      <c r="D114" s="9"/>
      <c r="E114" s="9"/>
      <c r="F114" s="9">
        <f t="shared" si="8"/>
        <v>0</v>
      </c>
      <c r="G114" s="9"/>
      <c r="J114" s="156">
        <f t="shared" si="9"/>
        <v>0</v>
      </c>
    </row>
    <row r="115" spans="1:10" hidden="1">
      <c r="A115" s="22" t="s">
        <v>86</v>
      </c>
      <c r="B115" s="4"/>
      <c r="C115" s="9">
        <f t="shared" si="7"/>
        <v>0</v>
      </c>
      <c r="D115" s="9"/>
      <c r="E115" s="9"/>
      <c r="F115" s="9">
        <f t="shared" si="8"/>
        <v>0</v>
      </c>
      <c r="G115" s="9"/>
      <c r="J115" s="156">
        <f t="shared" si="9"/>
        <v>0</v>
      </c>
    </row>
    <row r="116" spans="1:10" hidden="1">
      <c r="A116" s="22" t="s">
        <v>62</v>
      </c>
      <c r="B116" s="4"/>
      <c r="C116" s="9">
        <f t="shared" si="7"/>
        <v>0</v>
      </c>
      <c r="D116" s="9"/>
      <c r="E116" s="9"/>
      <c r="F116" s="9">
        <f t="shared" si="8"/>
        <v>0</v>
      </c>
      <c r="G116" s="9"/>
      <c r="J116" s="156">
        <f t="shared" si="9"/>
        <v>0</v>
      </c>
    </row>
    <row r="117" spans="1:10" hidden="1">
      <c r="A117" s="15" t="s">
        <v>87</v>
      </c>
      <c r="B117" s="9"/>
      <c r="C117" s="9">
        <f t="shared" si="7"/>
        <v>3937.1200000000003</v>
      </c>
      <c r="D117" s="163">
        <f>1066.16</f>
        <v>1066.1600000000001</v>
      </c>
      <c r="E117" s="9"/>
      <c r="F117" s="9">
        <f t="shared" si="8"/>
        <v>5003.2800000000007</v>
      </c>
      <c r="G117" s="9">
        <f>+G118+G119+G120</f>
        <v>0</v>
      </c>
      <c r="J117" s="156">
        <f t="shared" si="9"/>
        <v>54.11256254015224</v>
      </c>
    </row>
    <row r="118" spans="1:10" hidden="1">
      <c r="A118" s="14" t="s">
        <v>88</v>
      </c>
      <c r="B118" s="4"/>
      <c r="C118" s="9">
        <f t="shared" si="7"/>
        <v>0</v>
      </c>
      <c r="D118" s="9"/>
      <c r="E118" s="9"/>
      <c r="F118" s="9">
        <f t="shared" si="8"/>
        <v>0</v>
      </c>
      <c r="G118" s="9"/>
      <c r="J118" s="156">
        <f t="shared" si="9"/>
        <v>0</v>
      </c>
    </row>
    <row r="119" spans="1:10" hidden="1">
      <c r="A119" s="14" t="s">
        <v>89</v>
      </c>
      <c r="B119" s="4"/>
      <c r="C119" s="9">
        <f t="shared" si="7"/>
        <v>0</v>
      </c>
      <c r="D119" s="9"/>
      <c r="E119" s="9"/>
      <c r="F119" s="9">
        <f t="shared" si="8"/>
        <v>0</v>
      </c>
      <c r="G119" s="9"/>
      <c r="J119" s="156">
        <f t="shared" si="9"/>
        <v>0</v>
      </c>
    </row>
    <row r="120" spans="1:10" hidden="1">
      <c r="A120" s="22" t="s">
        <v>90</v>
      </c>
      <c r="B120" s="4"/>
      <c r="C120" s="9">
        <f t="shared" si="7"/>
        <v>0</v>
      </c>
      <c r="D120" s="9"/>
      <c r="E120" s="9"/>
      <c r="F120" s="9">
        <f t="shared" si="8"/>
        <v>0</v>
      </c>
      <c r="G120" s="9"/>
      <c r="J120" s="156">
        <f t="shared" si="9"/>
        <v>0</v>
      </c>
    </row>
    <row r="121" spans="1:10" hidden="1">
      <c r="A121" s="22" t="s">
        <v>62</v>
      </c>
      <c r="B121" s="4"/>
      <c r="C121" s="9">
        <f t="shared" si="7"/>
        <v>0</v>
      </c>
      <c r="D121" s="9"/>
      <c r="E121" s="9"/>
      <c r="F121" s="9">
        <f t="shared" si="8"/>
        <v>0</v>
      </c>
      <c r="G121" s="9"/>
      <c r="J121" s="156">
        <f t="shared" si="9"/>
        <v>0</v>
      </c>
    </row>
    <row r="122" spans="1:10" hidden="1">
      <c r="A122" s="23" t="s">
        <v>91</v>
      </c>
      <c r="B122" s="4"/>
      <c r="C122" s="9">
        <f t="shared" si="7"/>
        <v>2.38</v>
      </c>
      <c r="D122" s="9">
        <f>2.38-C122</f>
        <v>0</v>
      </c>
      <c r="E122" s="9"/>
      <c r="F122" s="9">
        <f t="shared" si="8"/>
        <v>2.38</v>
      </c>
      <c r="G122" s="9"/>
      <c r="J122" s="156">
        <f t="shared" si="9"/>
        <v>2.5740693873931162E-2</v>
      </c>
    </row>
    <row r="123" spans="1:10" hidden="1">
      <c r="A123" s="23" t="s">
        <v>92</v>
      </c>
      <c r="B123" s="4"/>
      <c r="C123" s="9">
        <f t="shared" si="7"/>
        <v>1.6900000000000002</v>
      </c>
      <c r="D123" s="9">
        <v>0.08</v>
      </c>
      <c r="E123" s="9"/>
      <c r="F123" s="9">
        <f t="shared" si="8"/>
        <v>1.7700000000000002</v>
      </c>
      <c r="G123" s="9"/>
      <c r="J123" s="156">
        <f t="shared" si="9"/>
        <v>1.9143289141537043E-2</v>
      </c>
    </row>
    <row r="124" spans="1:10" hidden="1">
      <c r="A124" s="23" t="s">
        <v>93</v>
      </c>
      <c r="B124" s="4"/>
      <c r="C124" s="9">
        <f t="shared" si="7"/>
        <v>26.91</v>
      </c>
      <c r="D124" s="9">
        <f>16.86+8.08</f>
        <v>24.939999999999998</v>
      </c>
      <c r="E124" s="9"/>
      <c r="F124" s="9">
        <f t="shared" si="8"/>
        <v>51.849999999999994</v>
      </c>
      <c r="G124" s="9"/>
      <c r="J124" s="156">
        <f t="shared" si="9"/>
        <v>0.56077940225350031</v>
      </c>
    </row>
    <row r="125" spans="1:10" hidden="1">
      <c r="A125" s="23" t="s">
        <v>94</v>
      </c>
      <c r="B125" s="4"/>
      <c r="C125" s="9">
        <f t="shared" si="7"/>
        <v>0</v>
      </c>
      <c r="D125" s="9">
        <v>0</v>
      </c>
      <c r="E125" s="9"/>
      <c r="F125" s="9">
        <f t="shared" si="8"/>
        <v>0</v>
      </c>
      <c r="G125" s="9"/>
      <c r="J125" s="156">
        <f t="shared" si="9"/>
        <v>0</v>
      </c>
    </row>
    <row r="126" spans="1:10" hidden="1">
      <c r="A126" s="23" t="s">
        <v>62</v>
      </c>
      <c r="B126" s="4"/>
      <c r="C126" s="9">
        <f t="shared" si="7"/>
        <v>0</v>
      </c>
      <c r="D126" s="9">
        <v>0</v>
      </c>
      <c r="E126" s="9"/>
      <c r="F126" s="9">
        <f t="shared" si="8"/>
        <v>0</v>
      </c>
      <c r="G126" s="9"/>
      <c r="J126" s="156">
        <f t="shared" si="9"/>
        <v>0</v>
      </c>
    </row>
    <row r="127" spans="1:10" hidden="1">
      <c r="A127" s="23" t="s">
        <v>95</v>
      </c>
      <c r="B127" s="4"/>
      <c r="C127" s="9">
        <f t="shared" si="7"/>
        <v>0</v>
      </c>
      <c r="D127" s="9">
        <v>0</v>
      </c>
      <c r="E127" s="9"/>
      <c r="F127" s="9">
        <f t="shared" si="8"/>
        <v>0</v>
      </c>
      <c r="G127" s="9"/>
      <c r="J127" s="156">
        <f t="shared" si="9"/>
        <v>0</v>
      </c>
    </row>
    <row r="128" spans="1:10" ht="20.25" hidden="1" customHeight="1">
      <c r="A128" s="122" t="s">
        <v>96</v>
      </c>
      <c r="B128" s="122"/>
      <c r="C128" s="155">
        <f>+C103+C104+C105+C106+C107+C108+C113+C114+C115+C116+C117+C122+C123+C124+C125+C126+C127</f>
        <v>7456.85</v>
      </c>
      <c r="D128" s="155">
        <f>+D103+D104+D105+D106+D107+D108+D113+D114+D115+D116+D117+D122+D123+D124+D125+D126+D127</f>
        <v>1790.1200000000001</v>
      </c>
      <c r="E128" s="155">
        <f>+E103+E104+E105+E106+E107+E108+E113+E114+E115+E116+E117+E122+E123+E124+E125+E126+E127</f>
        <v>-0.91</v>
      </c>
      <c r="F128" s="155">
        <f>+F103+F104+F105+F106+F107+F108+F113+F114+F115+F116+F117+F122+F123+F124+F125+F126+F127</f>
        <v>9246.0600000000013</v>
      </c>
      <c r="G128" s="154"/>
      <c r="J128" s="16">
        <f>SUM(J103:J127)</f>
        <v>100</v>
      </c>
    </row>
    <row r="129" spans="1:11" hidden="1">
      <c r="C129" s="16"/>
      <c r="D129" s="16"/>
      <c r="E129" s="16"/>
      <c r="F129" s="16"/>
      <c r="G129" s="16"/>
    </row>
    <row r="130" spans="1:11" hidden="1">
      <c r="C130" s="16"/>
      <c r="D130" s="16"/>
      <c r="E130" s="16"/>
      <c r="F130" s="16"/>
      <c r="G130" s="16"/>
    </row>
    <row r="131" spans="1:11" hidden="1">
      <c r="C131" s="16"/>
      <c r="D131" s="16"/>
      <c r="E131" s="16"/>
      <c r="F131" s="16"/>
      <c r="G131" s="16"/>
    </row>
    <row r="132" spans="1:11" hidden="1">
      <c r="A132" s="20" t="s">
        <v>21</v>
      </c>
      <c r="C132" s="16"/>
      <c r="D132" s="16"/>
      <c r="E132" t="s">
        <v>365</v>
      </c>
      <c r="F132" s="16"/>
      <c r="G132" s="16"/>
    </row>
    <row r="133" spans="1:11" hidden="1">
      <c r="A133" s="282" t="s">
        <v>74</v>
      </c>
      <c r="B133" s="281" t="s">
        <v>12</v>
      </c>
      <c r="C133" s="281" t="s">
        <v>97</v>
      </c>
      <c r="D133" s="281" t="s">
        <v>98</v>
      </c>
      <c r="E133" s="281" t="s">
        <v>99</v>
      </c>
      <c r="F133" s="281" t="s">
        <v>100</v>
      </c>
      <c r="G133" s="281" t="s">
        <v>101</v>
      </c>
    </row>
    <row r="134" spans="1:11" ht="38.25" hidden="1" customHeight="1">
      <c r="A134" s="282"/>
      <c r="B134" s="281"/>
      <c r="C134" s="281"/>
      <c r="D134" s="281"/>
      <c r="E134" s="281"/>
      <c r="F134" s="281"/>
      <c r="G134" s="281"/>
    </row>
    <row r="135" spans="1:11" hidden="1">
      <c r="A135" s="21" t="s">
        <v>75</v>
      </c>
      <c r="B135" s="4"/>
      <c r="C135" s="9">
        <f t="shared" ref="C135:C159" si="10">+F103</f>
        <v>56.37</v>
      </c>
      <c r="D135" s="193">
        <v>-3.29</v>
      </c>
      <c r="E135" s="9"/>
      <c r="F135" s="9">
        <f>+C135+D135+E135</f>
        <v>53.08</v>
      </c>
      <c r="G135" s="9"/>
      <c r="J135" s="156">
        <f>+F135/$F$160*100</f>
        <v>0.47273575781109461</v>
      </c>
      <c r="K135" s="16">
        <v>0.3</v>
      </c>
    </row>
    <row r="136" spans="1:11" hidden="1">
      <c r="A136" s="21" t="s">
        <v>76</v>
      </c>
      <c r="B136" s="4"/>
      <c r="C136" s="9">
        <f t="shared" si="10"/>
        <v>98.809999999999988</v>
      </c>
      <c r="D136" s="9">
        <v>44.42</v>
      </c>
      <c r="E136" s="9"/>
      <c r="F136" s="9">
        <f t="shared" ref="F136:F159" si="11">+C136+D136+E136</f>
        <v>143.22999999999999</v>
      </c>
      <c r="G136" s="9"/>
      <c r="J136" s="156">
        <f t="shared" ref="J136:J159" si="12">+F136/$F$160*100</f>
        <v>1.275620621538867</v>
      </c>
      <c r="K136" s="16">
        <v>2</v>
      </c>
    </row>
    <row r="137" spans="1:11" hidden="1">
      <c r="A137" s="18" t="s">
        <v>77</v>
      </c>
      <c r="B137" s="4"/>
      <c r="C137" s="9">
        <f t="shared" si="10"/>
        <v>0</v>
      </c>
      <c r="D137" s="9"/>
      <c r="E137" s="9"/>
      <c r="F137" s="9">
        <f t="shared" si="11"/>
        <v>0</v>
      </c>
      <c r="G137" s="9"/>
      <c r="J137" s="156">
        <f t="shared" si="12"/>
        <v>0</v>
      </c>
    </row>
    <row r="138" spans="1:11" hidden="1">
      <c r="A138" s="18" t="s">
        <v>78</v>
      </c>
      <c r="B138" s="4"/>
      <c r="C138" s="9">
        <f t="shared" si="10"/>
        <v>0</v>
      </c>
      <c r="D138" s="9"/>
      <c r="E138" s="9"/>
      <c r="F138" s="9">
        <f t="shared" si="11"/>
        <v>0</v>
      </c>
      <c r="G138" s="9"/>
      <c r="J138" s="156">
        <f t="shared" si="12"/>
        <v>0</v>
      </c>
    </row>
    <row r="139" spans="1:11" hidden="1">
      <c r="A139" s="18" t="s">
        <v>79</v>
      </c>
      <c r="B139" s="4"/>
      <c r="C139" s="9">
        <f t="shared" si="10"/>
        <v>15.43</v>
      </c>
      <c r="D139" s="9">
        <v>24.12</v>
      </c>
      <c r="E139" s="9"/>
      <c r="F139" s="9">
        <f t="shared" si="11"/>
        <v>39.549999999999997</v>
      </c>
      <c r="G139" s="9"/>
      <c r="J139" s="156">
        <f t="shared" si="12"/>
        <v>0.35223623250619418</v>
      </c>
      <c r="K139" s="16">
        <v>0.15</v>
      </c>
    </row>
    <row r="140" spans="1:11" hidden="1">
      <c r="A140" s="15" t="s">
        <v>80</v>
      </c>
      <c r="B140" s="9"/>
      <c r="C140" s="9">
        <f t="shared" si="10"/>
        <v>4016.17</v>
      </c>
      <c r="D140" s="9">
        <f>830.8-3.02</f>
        <v>827.78</v>
      </c>
      <c r="E140" s="9"/>
      <c r="F140" s="9">
        <f t="shared" si="11"/>
        <v>4843.95</v>
      </c>
      <c r="G140" s="9">
        <f>+G141+G142+G143</f>
        <v>0</v>
      </c>
      <c r="I140">
        <v>7.84</v>
      </c>
      <c r="J140" s="156">
        <f t="shared" si="12"/>
        <v>43.140700340034883</v>
      </c>
      <c r="K140" s="16">
        <v>53</v>
      </c>
    </row>
    <row r="141" spans="1:11" hidden="1">
      <c r="A141" s="22" t="s">
        <v>81</v>
      </c>
      <c r="B141" s="4"/>
      <c r="C141" s="9">
        <f t="shared" si="10"/>
        <v>0</v>
      </c>
      <c r="D141" s="9"/>
      <c r="E141" s="9"/>
      <c r="F141" s="9">
        <f t="shared" si="11"/>
        <v>0</v>
      </c>
      <c r="G141" s="9"/>
      <c r="J141" s="156">
        <f t="shared" si="12"/>
        <v>0</v>
      </c>
    </row>
    <row r="142" spans="1:11" hidden="1">
      <c r="A142" s="22" t="s">
        <v>82</v>
      </c>
      <c r="B142" s="4"/>
      <c r="C142" s="9">
        <f t="shared" si="10"/>
        <v>0</v>
      </c>
      <c r="D142" s="9"/>
      <c r="E142" s="9"/>
      <c r="F142" s="9">
        <f t="shared" si="11"/>
        <v>0</v>
      </c>
      <c r="G142" s="9"/>
      <c r="J142" s="156">
        <f t="shared" si="12"/>
        <v>0</v>
      </c>
    </row>
    <row r="143" spans="1:11" hidden="1">
      <c r="A143" s="22" t="s">
        <v>83</v>
      </c>
      <c r="B143" s="4"/>
      <c r="C143" s="9">
        <f t="shared" si="10"/>
        <v>0</v>
      </c>
      <c r="D143" s="9"/>
      <c r="E143" s="9"/>
      <c r="F143" s="9">
        <f t="shared" si="11"/>
        <v>0</v>
      </c>
      <c r="G143" s="9"/>
      <c r="J143" s="156">
        <f t="shared" si="12"/>
        <v>0</v>
      </c>
    </row>
    <row r="144" spans="1:11" hidden="1">
      <c r="A144" s="22"/>
      <c r="B144" s="4"/>
      <c r="C144" s="9">
        <f t="shared" si="10"/>
        <v>0</v>
      </c>
      <c r="D144" s="9"/>
      <c r="E144" s="9"/>
      <c r="F144" s="9">
        <f t="shared" si="11"/>
        <v>0</v>
      </c>
      <c r="G144" s="9"/>
      <c r="J144" s="156">
        <f t="shared" si="12"/>
        <v>0</v>
      </c>
    </row>
    <row r="145" spans="1:11" hidden="1">
      <c r="A145" s="22" t="s">
        <v>84</v>
      </c>
      <c r="B145" s="4"/>
      <c r="C145" s="9">
        <f t="shared" si="10"/>
        <v>0</v>
      </c>
      <c r="D145" s="9"/>
      <c r="E145" s="9"/>
      <c r="F145" s="9">
        <f t="shared" si="11"/>
        <v>0</v>
      </c>
      <c r="G145" s="9"/>
      <c r="J145" s="156">
        <f t="shared" si="12"/>
        <v>0</v>
      </c>
    </row>
    <row r="146" spans="1:11" hidden="1">
      <c r="A146" s="22" t="s">
        <v>85</v>
      </c>
      <c r="B146" s="4"/>
      <c r="C146" s="9">
        <f t="shared" si="10"/>
        <v>0</v>
      </c>
      <c r="D146" s="9"/>
      <c r="E146" s="9"/>
      <c r="F146" s="9">
        <f t="shared" si="11"/>
        <v>0</v>
      </c>
      <c r="G146" s="9"/>
      <c r="J146" s="156">
        <f t="shared" si="12"/>
        <v>0</v>
      </c>
    </row>
    <row r="147" spans="1:11" hidden="1">
      <c r="A147" s="22" t="s">
        <v>86</v>
      </c>
      <c r="B147" s="4"/>
      <c r="C147" s="9">
        <f t="shared" si="10"/>
        <v>0</v>
      </c>
      <c r="D147" s="9"/>
      <c r="E147" s="9"/>
      <c r="F147" s="9">
        <f t="shared" si="11"/>
        <v>0</v>
      </c>
      <c r="G147" s="9"/>
      <c r="J147" s="156">
        <f t="shared" si="12"/>
        <v>0</v>
      </c>
    </row>
    <row r="148" spans="1:11" hidden="1">
      <c r="A148" s="22" t="s">
        <v>62</v>
      </c>
      <c r="B148" s="4"/>
      <c r="C148" s="9">
        <f t="shared" si="10"/>
        <v>0</v>
      </c>
      <c r="D148" s="9"/>
      <c r="E148" s="9"/>
      <c r="F148" s="9">
        <f t="shared" si="11"/>
        <v>0</v>
      </c>
      <c r="G148" s="9"/>
      <c r="J148" s="156">
        <f t="shared" si="12"/>
        <v>0</v>
      </c>
    </row>
    <row r="149" spans="1:11" hidden="1">
      <c r="A149" s="15" t="s">
        <v>87</v>
      </c>
      <c r="B149" s="9"/>
      <c r="C149" s="9">
        <f t="shared" si="10"/>
        <v>5003.2800000000007</v>
      </c>
      <c r="D149" s="9">
        <f>1081.92</f>
        <v>1081.92</v>
      </c>
      <c r="E149" s="9"/>
      <c r="F149" s="9">
        <f t="shared" si="11"/>
        <v>6085.2000000000007</v>
      </c>
      <c r="G149" s="9">
        <f>+G150+G151+G152</f>
        <v>0</v>
      </c>
      <c r="I149">
        <v>5.27</v>
      </c>
      <c r="J149" s="156">
        <f t="shared" si="12"/>
        <v>54.19539625908201</v>
      </c>
      <c r="K149" s="16">
        <v>44</v>
      </c>
    </row>
    <row r="150" spans="1:11" hidden="1">
      <c r="A150" s="14" t="s">
        <v>88</v>
      </c>
      <c r="B150" s="4"/>
      <c r="C150" s="9">
        <f t="shared" si="10"/>
        <v>0</v>
      </c>
      <c r="D150" s="9"/>
      <c r="E150" s="9"/>
      <c r="F150" s="9">
        <f t="shared" si="11"/>
        <v>0</v>
      </c>
      <c r="G150" s="9"/>
      <c r="J150" s="156">
        <f t="shared" si="12"/>
        <v>0</v>
      </c>
    </row>
    <row r="151" spans="1:11" hidden="1">
      <c r="A151" s="14" t="s">
        <v>89</v>
      </c>
      <c r="B151" s="4"/>
      <c r="C151" s="9">
        <f t="shared" si="10"/>
        <v>0</v>
      </c>
      <c r="D151" s="9"/>
      <c r="E151" s="9"/>
      <c r="F151" s="9">
        <f t="shared" si="11"/>
        <v>0</v>
      </c>
      <c r="G151" s="9"/>
      <c r="J151" s="156">
        <f t="shared" si="12"/>
        <v>0</v>
      </c>
    </row>
    <row r="152" spans="1:11" hidden="1">
      <c r="A152" s="22" t="s">
        <v>90</v>
      </c>
      <c r="B152" s="4"/>
      <c r="C152" s="9">
        <f t="shared" si="10"/>
        <v>0</v>
      </c>
      <c r="D152" s="9"/>
      <c r="E152" s="9"/>
      <c r="F152" s="9">
        <f t="shared" si="11"/>
        <v>0</v>
      </c>
      <c r="G152" s="9"/>
      <c r="J152" s="156">
        <f t="shared" si="12"/>
        <v>0</v>
      </c>
    </row>
    <row r="153" spans="1:11" hidden="1">
      <c r="A153" s="22" t="s">
        <v>62</v>
      </c>
      <c r="B153" s="4"/>
      <c r="C153" s="9">
        <f t="shared" si="10"/>
        <v>0</v>
      </c>
      <c r="D153" s="9"/>
      <c r="E153" s="9"/>
      <c r="F153" s="9">
        <f t="shared" si="11"/>
        <v>0</v>
      </c>
      <c r="G153" s="9"/>
      <c r="J153" s="156">
        <f t="shared" si="12"/>
        <v>0</v>
      </c>
    </row>
    <row r="154" spans="1:11" hidden="1">
      <c r="A154" s="23" t="s">
        <v>91</v>
      </c>
      <c r="B154" s="4"/>
      <c r="C154" s="9">
        <f t="shared" si="10"/>
        <v>2.38</v>
      </c>
      <c r="D154" s="9"/>
      <c r="E154" s="9"/>
      <c r="F154" s="9">
        <f t="shared" si="11"/>
        <v>2.38</v>
      </c>
      <c r="G154" s="9"/>
      <c r="J154" s="156">
        <f t="shared" si="12"/>
        <v>2.119651664639045E-2</v>
      </c>
    </row>
    <row r="155" spans="1:11" hidden="1">
      <c r="A155" s="23" t="s">
        <v>92</v>
      </c>
      <c r="B155" s="4"/>
      <c r="C155" s="9">
        <f t="shared" si="10"/>
        <v>1.7700000000000002</v>
      </c>
      <c r="D155" s="163">
        <v>1.29</v>
      </c>
      <c r="E155" s="9"/>
      <c r="F155" s="9">
        <f t="shared" si="11"/>
        <v>3.0600000000000005</v>
      </c>
      <c r="G155" s="9"/>
      <c r="J155" s="156">
        <f t="shared" si="12"/>
        <v>2.7252664259644871E-2</v>
      </c>
      <c r="K155">
        <v>0.05</v>
      </c>
    </row>
    <row r="156" spans="1:11" hidden="1">
      <c r="A156" s="23" t="s">
        <v>93</v>
      </c>
      <c r="B156" s="4"/>
      <c r="C156" s="9">
        <f t="shared" si="10"/>
        <v>51.849999999999994</v>
      </c>
      <c r="D156" s="9">
        <f>5.79+0.59-0.42</f>
        <v>5.96</v>
      </c>
      <c r="E156" s="9"/>
      <c r="F156" s="9">
        <f t="shared" si="11"/>
        <v>57.809999999999995</v>
      </c>
      <c r="G156" s="9"/>
      <c r="J156" s="156">
        <f t="shared" si="12"/>
        <v>0.51486160812093773</v>
      </c>
      <c r="K156" s="16">
        <v>0.5</v>
      </c>
    </row>
    <row r="157" spans="1:11" hidden="1">
      <c r="A157" s="23" t="s">
        <v>94</v>
      </c>
      <c r="B157" s="4"/>
      <c r="C157" s="9">
        <f t="shared" si="10"/>
        <v>0</v>
      </c>
      <c r="D157" s="9"/>
      <c r="E157" s="9"/>
      <c r="F157" s="9">
        <f t="shared" si="11"/>
        <v>0</v>
      </c>
      <c r="G157" s="9"/>
      <c r="J157" s="156">
        <f t="shared" si="12"/>
        <v>0</v>
      </c>
    </row>
    <row r="158" spans="1:11" hidden="1">
      <c r="A158" s="23" t="s">
        <v>62</v>
      </c>
      <c r="B158" s="4"/>
      <c r="C158" s="9">
        <f t="shared" si="10"/>
        <v>0</v>
      </c>
      <c r="D158" s="9"/>
      <c r="E158" s="9"/>
      <c r="F158" s="9">
        <f t="shared" si="11"/>
        <v>0</v>
      </c>
      <c r="G158" s="9"/>
      <c r="J158" s="156">
        <f t="shared" si="12"/>
        <v>0</v>
      </c>
    </row>
    <row r="159" spans="1:11" hidden="1">
      <c r="A159" s="23" t="s">
        <v>95</v>
      </c>
      <c r="B159" s="4"/>
      <c r="C159" s="9">
        <f t="shared" si="10"/>
        <v>0</v>
      </c>
      <c r="D159" s="9"/>
      <c r="E159" s="9"/>
      <c r="F159" s="9">
        <f t="shared" si="11"/>
        <v>0</v>
      </c>
      <c r="G159" s="9"/>
      <c r="J159" s="156">
        <f t="shared" si="12"/>
        <v>0</v>
      </c>
    </row>
    <row r="160" spans="1:11" ht="20.25" hidden="1" customHeight="1">
      <c r="A160" s="122" t="s">
        <v>96</v>
      </c>
      <c r="B160" s="122"/>
      <c r="C160" s="155">
        <f>+C135+C136+C137+C138+C139+C140+C145+C146+C147+C148+C149+C154+C155+C156+C157+C158+C159</f>
        <v>9246.0600000000013</v>
      </c>
      <c r="D160" s="155">
        <f>+D135+D136+D137+D138+D139+D140+D145+D146+D147+D148+D149+D154+D155+D156+D157+D158+D159</f>
        <v>1982.2</v>
      </c>
      <c r="E160" s="155">
        <f>+E135+E136+E137+E138+E139+E140+E145+E146+E147+E148+E149+E154+E155+E156+E157+E158+E159</f>
        <v>0</v>
      </c>
      <c r="F160" s="155">
        <f>+F135+F136+F137+F138+F139+F140+F145+F146+F147+F148+F149+F154+F155+F156+F157+F158+F159</f>
        <v>11228.259999999998</v>
      </c>
      <c r="G160" s="154"/>
      <c r="J160">
        <f>SUM(J135:J159)</f>
        <v>100.00000000000001</v>
      </c>
      <c r="K160" s="16">
        <f>SUM(K135:K159)</f>
        <v>100</v>
      </c>
    </row>
    <row r="161" spans="1:9" hidden="1">
      <c r="C161" s="16"/>
      <c r="D161" s="16"/>
      <c r="E161" s="16"/>
      <c r="F161" s="16"/>
      <c r="G161" s="16"/>
    </row>
    <row r="162" spans="1:9" hidden="1">
      <c r="C162" s="16"/>
      <c r="D162" s="16"/>
      <c r="E162" s="16"/>
      <c r="F162" s="16"/>
      <c r="G162" s="16"/>
    </row>
    <row r="163" spans="1:9">
      <c r="A163" s="19" t="s">
        <v>73</v>
      </c>
      <c r="C163" s="16"/>
      <c r="D163" s="16"/>
      <c r="E163" s="16"/>
      <c r="F163" s="16"/>
      <c r="G163" s="16"/>
    </row>
    <row r="164" spans="1:9">
      <c r="A164" s="20" t="s">
        <v>22</v>
      </c>
      <c r="C164" s="16"/>
      <c r="D164" s="16"/>
      <c r="E164" t="s">
        <v>365</v>
      </c>
      <c r="F164" s="16"/>
      <c r="G164" s="16"/>
    </row>
    <row r="165" spans="1:9">
      <c r="A165" s="282" t="s">
        <v>74</v>
      </c>
      <c r="B165" s="281" t="s">
        <v>12</v>
      </c>
      <c r="C165" s="281" t="s">
        <v>97</v>
      </c>
      <c r="D165" s="281" t="s">
        <v>98</v>
      </c>
      <c r="E165" s="281" t="s">
        <v>99</v>
      </c>
      <c r="F165" s="281" t="s">
        <v>100</v>
      </c>
      <c r="G165" s="281" t="s">
        <v>101</v>
      </c>
    </row>
    <row r="166" spans="1:9" ht="38.25" customHeight="1">
      <c r="A166" s="282"/>
      <c r="B166" s="281"/>
      <c r="C166" s="281"/>
      <c r="D166" s="281"/>
      <c r="E166" s="281"/>
      <c r="F166" s="281"/>
      <c r="G166" s="281"/>
    </row>
    <row r="167" spans="1:9">
      <c r="A167" s="21" t="s">
        <v>75</v>
      </c>
      <c r="B167" s="4"/>
      <c r="C167" s="9">
        <f t="shared" ref="C167:C191" si="13">+F135</f>
        <v>53.08</v>
      </c>
      <c r="D167" s="9">
        <v>-1.56</v>
      </c>
      <c r="E167" s="9"/>
      <c r="F167" s="9">
        <f>+C167+D167+E167</f>
        <v>51.519999999999996</v>
      </c>
      <c r="G167" s="9"/>
      <c r="I167" s="16">
        <f>+'[1]Additions (Net)'!C4</f>
        <v>0.3507158209014436</v>
      </c>
    </row>
    <row r="168" spans="1:9">
      <c r="A168" s="21" t="s">
        <v>76</v>
      </c>
      <c r="B168" s="4"/>
      <c r="C168" s="9">
        <f t="shared" si="13"/>
        <v>143.22999999999999</v>
      </c>
      <c r="D168" s="9">
        <v>132.37</v>
      </c>
      <c r="E168" s="9"/>
      <c r="F168" s="9">
        <f t="shared" ref="F168:F191" si="14">+C168+D168+E168</f>
        <v>275.60000000000002</v>
      </c>
      <c r="G168" s="9"/>
      <c r="I168" s="16">
        <f>+'[1]Additions (Net)'!C5</f>
        <v>1.6936694076099479</v>
      </c>
    </row>
    <row r="169" spans="1:9">
      <c r="A169" s="18" t="s">
        <v>77</v>
      </c>
      <c r="B169" s="4"/>
      <c r="C169" s="9">
        <f t="shared" si="13"/>
        <v>0</v>
      </c>
      <c r="D169" s="9"/>
      <c r="E169" s="9"/>
      <c r="F169" s="9">
        <f t="shared" si="14"/>
        <v>0</v>
      </c>
      <c r="G169" s="9"/>
      <c r="I169" s="16">
        <f>+'[1]Additions (Net)'!C6</f>
        <v>0</v>
      </c>
    </row>
    <row r="170" spans="1:9">
      <c r="A170" s="18" t="s">
        <v>78</v>
      </c>
      <c r="B170" s="4"/>
      <c r="C170" s="9">
        <f t="shared" si="13"/>
        <v>0</v>
      </c>
      <c r="D170" s="9"/>
      <c r="E170" s="9"/>
      <c r="F170" s="9">
        <f t="shared" si="14"/>
        <v>0</v>
      </c>
      <c r="G170" s="9"/>
      <c r="I170" s="16">
        <f>+'[1]Additions (Net)'!C7</f>
        <v>0</v>
      </c>
    </row>
    <row r="171" spans="1:9">
      <c r="A171" s="18" t="s">
        <v>79</v>
      </c>
      <c r="B171" s="4"/>
      <c r="C171" s="9">
        <f t="shared" si="13"/>
        <v>39.549999999999997</v>
      </c>
      <c r="D171" s="9">
        <v>118.8</v>
      </c>
      <c r="E171" s="9"/>
      <c r="F171" s="9">
        <f t="shared" si="14"/>
        <v>158.35</v>
      </c>
      <c r="G171" s="9"/>
      <c r="I171" s="16">
        <f>+'[1]Additions (Net)'!C8</f>
        <v>0.56671258332095698</v>
      </c>
    </row>
    <row r="172" spans="1:9">
      <c r="A172" s="15" t="s">
        <v>80</v>
      </c>
      <c r="B172" s="9"/>
      <c r="C172" s="9">
        <f t="shared" si="13"/>
        <v>4843.95</v>
      </c>
      <c r="D172" s="9">
        <f>1571.88-0.88</f>
        <v>1571</v>
      </c>
      <c r="E172" s="9"/>
      <c r="F172" s="9">
        <f t="shared" si="14"/>
        <v>6414.95</v>
      </c>
      <c r="G172" s="9">
        <f>+G173+G174+G175</f>
        <v>0</v>
      </c>
      <c r="I172" s="16">
        <f>+'[1]Additions (Net)'!C9</f>
        <v>48.278441163726988</v>
      </c>
    </row>
    <row r="173" spans="1:9">
      <c r="A173" s="22" t="s">
        <v>81</v>
      </c>
      <c r="B173" s="4"/>
      <c r="C173" s="9">
        <f t="shared" si="13"/>
        <v>0</v>
      </c>
      <c r="D173" s="9"/>
      <c r="E173" s="9"/>
      <c r="F173" s="9">
        <f t="shared" si="14"/>
        <v>0</v>
      </c>
      <c r="G173" s="9"/>
      <c r="I173" s="16">
        <f>+'[1]Additions (Net)'!C10</f>
        <v>0</v>
      </c>
    </row>
    <row r="174" spans="1:9">
      <c r="A174" s="22" t="s">
        <v>82</v>
      </c>
      <c r="B174" s="4"/>
      <c r="C174" s="9">
        <f t="shared" si="13"/>
        <v>0</v>
      </c>
      <c r="D174" s="9"/>
      <c r="E174" s="9"/>
      <c r="F174" s="9">
        <f t="shared" si="14"/>
        <v>0</v>
      </c>
      <c r="G174" s="9"/>
      <c r="I174" s="16">
        <f>+'[1]Additions (Net)'!C11</f>
        <v>0</v>
      </c>
    </row>
    <row r="175" spans="1:9">
      <c r="A175" s="22" t="s">
        <v>83</v>
      </c>
      <c r="B175" s="4"/>
      <c r="C175" s="9">
        <f t="shared" si="13"/>
        <v>0</v>
      </c>
      <c r="D175" s="9"/>
      <c r="E175" s="9"/>
      <c r="F175" s="9">
        <f t="shared" si="14"/>
        <v>0</v>
      </c>
      <c r="G175" s="9"/>
      <c r="I175" s="16">
        <f>+'[1]Additions (Net)'!C12</f>
        <v>0</v>
      </c>
    </row>
    <row r="176" spans="1:9">
      <c r="A176" s="22"/>
      <c r="B176" s="4"/>
      <c r="C176" s="9">
        <f t="shared" si="13"/>
        <v>0</v>
      </c>
      <c r="D176" s="9"/>
      <c r="E176" s="9"/>
      <c r="F176" s="9">
        <f t="shared" si="14"/>
        <v>0</v>
      </c>
      <c r="G176" s="9"/>
      <c r="I176" s="16">
        <f>+'[1]Additions (Net)'!C13</f>
        <v>0</v>
      </c>
    </row>
    <row r="177" spans="1:9">
      <c r="A177" s="22" t="s">
        <v>84</v>
      </c>
      <c r="B177" s="4"/>
      <c r="C177" s="9">
        <f t="shared" si="13"/>
        <v>0</v>
      </c>
      <c r="D177" s="9"/>
      <c r="E177" s="9"/>
      <c r="F177" s="9">
        <f t="shared" si="14"/>
        <v>0</v>
      </c>
      <c r="G177" s="9"/>
      <c r="I177" s="16">
        <f>+'[1]Additions (Net)'!C14</f>
        <v>0</v>
      </c>
    </row>
    <row r="178" spans="1:9">
      <c r="A178" s="22" t="s">
        <v>85</v>
      </c>
      <c r="B178" s="4"/>
      <c r="C178" s="9">
        <f t="shared" si="13"/>
        <v>0</v>
      </c>
      <c r="D178" s="9"/>
      <c r="E178" s="9"/>
      <c r="F178" s="9">
        <f t="shared" si="14"/>
        <v>0</v>
      </c>
      <c r="G178" s="9"/>
      <c r="I178" s="16">
        <f>+'[1]Additions (Net)'!C15</f>
        <v>0</v>
      </c>
    </row>
    <row r="179" spans="1:9">
      <c r="A179" s="22" t="s">
        <v>86</v>
      </c>
      <c r="B179" s="4"/>
      <c r="C179" s="9">
        <f t="shared" si="13"/>
        <v>0</v>
      </c>
      <c r="D179" s="9"/>
      <c r="E179" s="9"/>
      <c r="F179" s="9">
        <f t="shared" si="14"/>
        <v>0</v>
      </c>
      <c r="G179" s="9"/>
      <c r="I179" s="16">
        <f>+'[1]Additions (Net)'!C16</f>
        <v>0</v>
      </c>
    </row>
    <row r="180" spans="1:9">
      <c r="A180" s="22" t="s">
        <v>62</v>
      </c>
      <c r="B180" s="4"/>
      <c r="C180" s="9">
        <f t="shared" si="13"/>
        <v>0</v>
      </c>
      <c r="D180" s="9"/>
      <c r="E180" s="9"/>
      <c r="F180" s="9">
        <f t="shared" si="14"/>
        <v>0</v>
      </c>
      <c r="G180" s="9"/>
      <c r="I180" s="16">
        <f>+'[1]Additions (Net)'!C17</f>
        <v>0</v>
      </c>
    </row>
    <row r="181" spans="1:9">
      <c r="A181" s="15" t="s">
        <v>87</v>
      </c>
      <c r="B181" s="9"/>
      <c r="C181" s="9">
        <f t="shared" si="13"/>
        <v>6085.2000000000007</v>
      </c>
      <c r="D181" s="9">
        <v>1750.16</v>
      </c>
      <c r="E181" s="9">
        <f>+E182+E183+E184</f>
        <v>0</v>
      </c>
      <c r="F181" s="9">
        <f t="shared" si="14"/>
        <v>7835.3600000000006</v>
      </c>
      <c r="G181" s="9">
        <f>+G182+G183+G184</f>
        <v>0</v>
      </c>
      <c r="I181" s="16">
        <f>+'[1]Additions (Net)'!C18</f>
        <v>48.53986380146452</v>
      </c>
    </row>
    <row r="182" spans="1:9">
      <c r="A182" s="14" t="s">
        <v>88</v>
      </c>
      <c r="B182" s="4"/>
      <c r="C182" s="9">
        <f t="shared" si="13"/>
        <v>0</v>
      </c>
      <c r="D182" s="9"/>
      <c r="E182" s="9"/>
      <c r="F182" s="9">
        <f t="shared" si="14"/>
        <v>0</v>
      </c>
      <c r="G182" s="9"/>
      <c r="I182" s="16">
        <f>+'[1]Additions (Net)'!C19</f>
        <v>0</v>
      </c>
    </row>
    <row r="183" spans="1:9">
      <c r="A183" s="14" t="s">
        <v>89</v>
      </c>
      <c r="B183" s="4"/>
      <c r="C183" s="9">
        <f t="shared" si="13"/>
        <v>0</v>
      </c>
      <c r="D183" s="9"/>
      <c r="E183" s="9"/>
      <c r="F183" s="9">
        <f t="shared" si="14"/>
        <v>0</v>
      </c>
      <c r="G183" s="9"/>
      <c r="I183" s="16">
        <f>+'[1]Additions (Net)'!C20</f>
        <v>0</v>
      </c>
    </row>
    <row r="184" spans="1:9">
      <c r="A184" s="22" t="s">
        <v>90</v>
      </c>
      <c r="B184" s="4"/>
      <c r="C184" s="9">
        <f t="shared" si="13"/>
        <v>0</v>
      </c>
      <c r="D184" s="9"/>
      <c r="E184" s="9"/>
      <c r="F184" s="9">
        <f t="shared" si="14"/>
        <v>0</v>
      </c>
      <c r="G184" s="9"/>
      <c r="I184" s="16">
        <f>+'[1]Additions (Net)'!C21</f>
        <v>0</v>
      </c>
    </row>
    <row r="185" spans="1:9">
      <c r="A185" s="22" t="s">
        <v>62</v>
      </c>
      <c r="B185" s="4"/>
      <c r="C185" s="9">
        <f t="shared" si="13"/>
        <v>0</v>
      </c>
      <c r="D185" s="9"/>
      <c r="E185" s="9"/>
      <c r="F185" s="9">
        <f t="shared" si="14"/>
        <v>0</v>
      </c>
      <c r="G185" s="9"/>
      <c r="I185" s="16">
        <f>+'[1]Additions (Net)'!C22</f>
        <v>0</v>
      </c>
    </row>
    <row r="186" spans="1:9">
      <c r="A186" s="23" t="s">
        <v>91</v>
      </c>
      <c r="B186" s="4"/>
      <c r="C186" s="9">
        <f t="shared" si="13"/>
        <v>2.38</v>
      </c>
      <c r="D186" s="9">
        <v>0.35</v>
      </c>
      <c r="E186" s="9"/>
      <c r="F186" s="9">
        <f t="shared" si="14"/>
        <v>2.73</v>
      </c>
      <c r="G186" s="9"/>
      <c r="I186" s="16">
        <f>+'[1]Additions (Net)'!C23</f>
        <v>2.6566085640577004E-2</v>
      </c>
    </row>
    <row r="187" spans="1:9">
      <c r="A187" s="23" t="s">
        <v>92</v>
      </c>
      <c r="B187" s="4"/>
      <c r="C187" s="9">
        <f t="shared" si="13"/>
        <v>3.0600000000000005</v>
      </c>
      <c r="D187" s="9">
        <f>5.99-0.12</f>
        <v>5.87</v>
      </c>
      <c r="E187" s="9"/>
      <c r="F187" s="9">
        <f t="shared" si="14"/>
        <v>8.93</v>
      </c>
      <c r="G187" s="9"/>
      <c r="I187" s="16">
        <f>+'[1]Additions (Net)'!C24</f>
        <v>4.824338161945671E-2</v>
      </c>
    </row>
    <row r="188" spans="1:9">
      <c r="A188" s="23" t="s">
        <v>93</v>
      </c>
      <c r="B188" s="4"/>
      <c r="C188" s="9">
        <f t="shared" si="13"/>
        <v>57.809999999999995</v>
      </c>
      <c r="D188" s="9">
        <f>13.98-1.17</f>
        <v>12.81</v>
      </c>
      <c r="E188" s="9"/>
      <c r="F188" s="9">
        <f t="shared" si="14"/>
        <v>70.61999999999999</v>
      </c>
      <c r="G188" s="9"/>
      <c r="I188" s="16">
        <f>+'[1]Additions (Net)'!C25</f>
        <v>0.49578775571611461</v>
      </c>
    </row>
    <row r="189" spans="1:9">
      <c r="A189" s="23" t="s">
        <v>94</v>
      </c>
      <c r="B189" s="4"/>
      <c r="C189" s="9">
        <f t="shared" si="13"/>
        <v>0</v>
      </c>
      <c r="D189" s="9"/>
      <c r="E189" s="9"/>
      <c r="F189" s="9">
        <f t="shared" si="14"/>
        <v>0</v>
      </c>
      <c r="G189" s="9"/>
      <c r="I189" s="16">
        <f>+'[1]Additions (Net)'!C26</f>
        <v>0</v>
      </c>
    </row>
    <row r="190" spans="1:9">
      <c r="A190" s="23" t="s">
        <v>62</v>
      </c>
      <c r="B190" s="4"/>
      <c r="C190" s="9">
        <f t="shared" si="13"/>
        <v>0</v>
      </c>
      <c r="D190" s="9"/>
      <c r="E190" s="9"/>
      <c r="F190" s="9">
        <f t="shared" si="14"/>
        <v>0</v>
      </c>
      <c r="G190" s="9"/>
      <c r="I190" s="16">
        <f>+'[1]Additions (Net)'!C27</f>
        <v>0</v>
      </c>
    </row>
    <row r="191" spans="1:9">
      <c r="A191" s="23" t="s">
        <v>95</v>
      </c>
      <c r="B191" s="4"/>
      <c r="C191" s="9">
        <f t="shared" si="13"/>
        <v>0</v>
      </c>
      <c r="D191" s="9"/>
      <c r="E191" s="9"/>
      <c r="F191" s="9">
        <f t="shared" si="14"/>
        <v>0</v>
      </c>
      <c r="G191" s="9"/>
      <c r="I191" s="16">
        <f>+'[1]Additions (Net)'!C28</f>
        <v>0</v>
      </c>
    </row>
    <row r="192" spans="1:9" ht="20.25" customHeight="1">
      <c r="A192" s="122" t="s">
        <v>96</v>
      </c>
      <c r="B192" s="122"/>
      <c r="C192" s="155">
        <f>+C167+C168+C169+C170+C171+C172+C177+C178+C179+C180+C181+C186+C187+C188+C189+C190+C191</f>
        <v>11228.259999999998</v>
      </c>
      <c r="D192" s="155">
        <f>+D167+D168+D169+D170+D171+D172+D177+D178+D179+D180+D181+D186+D187+D188+D189+D190+D191</f>
        <v>3589.8</v>
      </c>
      <c r="E192" s="155">
        <f>+E167+E168+E169+E170+E171+E172+E177+E178+E179+E180+E181+E186+E187+E188+E189+E190+E191</f>
        <v>0</v>
      </c>
      <c r="F192" s="155">
        <f>+F167+F168+F169+F170+F171+F172+F177+F178+F179+F180+F181+F186+F187+F188+F189+F190+F191</f>
        <v>14818.060000000001</v>
      </c>
      <c r="G192" s="154">
        <f>+G167+G168+G169+G170+G171+G172+G177+G178+G179+G180+G181+G186+G187+G188+G189+G190+G191</f>
        <v>0</v>
      </c>
    </row>
    <row r="193" spans="1:9">
      <c r="C193" s="16"/>
      <c r="D193" s="16"/>
      <c r="E193" s="16"/>
      <c r="F193" s="16"/>
      <c r="G193" s="16"/>
    </row>
    <row r="194" spans="1:9">
      <c r="C194" s="16"/>
      <c r="D194" s="16"/>
      <c r="E194" s="16"/>
      <c r="F194" s="16"/>
      <c r="G194" s="16"/>
    </row>
    <row r="195" spans="1:9">
      <c r="C195" s="16"/>
      <c r="D195" s="16"/>
      <c r="E195" s="16"/>
      <c r="F195" s="16"/>
      <c r="G195" s="16"/>
    </row>
    <row r="196" spans="1:9">
      <c r="A196" s="20" t="s">
        <v>433</v>
      </c>
      <c r="C196" s="16"/>
      <c r="D196" s="16"/>
      <c r="E196" t="s">
        <v>365</v>
      </c>
      <c r="F196" s="16"/>
      <c r="G196" s="16"/>
    </row>
    <row r="197" spans="1:9">
      <c r="A197" s="282" t="s">
        <v>74</v>
      </c>
      <c r="B197" s="281" t="s">
        <v>12</v>
      </c>
      <c r="C197" s="281" t="s">
        <v>97</v>
      </c>
      <c r="D197" s="281" t="s">
        <v>98</v>
      </c>
      <c r="E197" s="281" t="s">
        <v>99</v>
      </c>
      <c r="F197" s="281" t="s">
        <v>100</v>
      </c>
      <c r="G197" s="281" t="s">
        <v>101</v>
      </c>
    </row>
    <row r="198" spans="1:9" ht="38.25" customHeight="1">
      <c r="A198" s="282"/>
      <c r="B198" s="281"/>
      <c r="C198" s="281"/>
      <c r="D198" s="281"/>
      <c r="E198" s="281"/>
      <c r="F198" s="281"/>
      <c r="G198" s="281"/>
    </row>
    <row r="199" spans="1:9">
      <c r="A199" s="21" t="s">
        <v>75</v>
      </c>
      <c r="B199" s="4"/>
      <c r="C199" s="9">
        <f t="shared" ref="C199:C223" si="15">+F167</f>
        <v>51.519999999999996</v>
      </c>
      <c r="D199" s="9">
        <f>+$D$224*I199/100</f>
        <v>9.9121376106834713</v>
      </c>
      <c r="E199" s="9"/>
      <c r="F199" s="9">
        <f>+C199+D199+E199</f>
        <v>61.432137610683469</v>
      </c>
      <c r="G199" s="9"/>
      <c r="I199" s="16">
        <f>+I167</f>
        <v>0.3507158209014436</v>
      </c>
    </row>
    <row r="200" spans="1:9">
      <c r="A200" s="21" t="s">
        <v>76</v>
      </c>
      <c r="B200" s="4"/>
      <c r="C200" s="9">
        <f t="shared" si="15"/>
        <v>275.60000000000002</v>
      </c>
      <c r="D200" s="9">
        <f>+$D$224*I200/100</f>
        <v>47.867484825990232</v>
      </c>
      <c r="E200" s="9"/>
      <c r="F200" s="9">
        <f t="shared" ref="F200:F223" si="16">+C200+D200+E200</f>
        <v>323.46748482599025</v>
      </c>
      <c r="G200" s="9"/>
      <c r="I200" s="16">
        <f t="shared" ref="I200:I223" si="17">+I168</f>
        <v>1.6936694076099479</v>
      </c>
    </row>
    <row r="201" spans="1:9">
      <c r="A201" s="18" t="s">
        <v>77</v>
      </c>
      <c r="B201" s="4"/>
      <c r="C201" s="9">
        <f t="shared" si="15"/>
        <v>0</v>
      </c>
      <c r="D201" s="9">
        <f>+$D$224*I201/100</f>
        <v>0</v>
      </c>
      <c r="E201" s="9"/>
      <c r="F201" s="9">
        <f t="shared" si="16"/>
        <v>0</v>
      </c>
      <c r="G201" s="9"/>
      <c r="I201" s="16">
        <f t="shared" si="17"/>
        <v>0</v>
      </c>
    </row>
    <row r="202" spans="1:9">
      <c r="A202" s="18" t="s">
        <v>78</v>
      </c>
      <c r="B202" s="4"/>
      <c r="C202" s="9">
        <f t="shared" si="15"/>
        <v>0</v>
      </c>
      <c r="D202" s="9">
        <f>+$D$224*I202/100</f>
        <v>0</v>
      </c>
      <c r="E202" s="9"/>
      <c r="F202" s="9">
        <f t="shared" si="16"/>
        <v>0</v>
      </c>
      <c r="G202" s="9"/>
      <c r="I202" s="16">
        <f t="shared" si="17"/>
        <v>0</v>
      </c>
    </row>
    <row r="203" spans="1:9">
      <c r="A203" s="18" t="s">
        <v>79</v>
      </c>
      <c r="B203" s="4"/>
      <c r="C203" s="9">
        <f t="shared" si="15"/>
        <v>158.35</v>
      </c>
      <c r="D203" s="9">
        <f>+$D$224*I203/100</f>
        <v>16.016765645601723</v>
      </c>
      <c r="E203" s="9"/>
      <c r="F203" s="9">
        <f t="shared" si="16"/>
        <v>174.36676564560173</v>
      </c>
      <c r="G203" s="9"/>
      <c r="I203" s="16">
        <f t="shared" si="17"/>
        <v>0.56671258332095698</v>
      </c>
    </row>
    <row r="204" spans="1:9">
      <c r="A204" s="15" t="s">
        <v>80</v>
      </c>
      <c r="B204" s="9"/>
      <c r="C204" s="9">
        <f>+F172+6.72</f>
        <v>6421.67</v>
      </c>
      <c r="D204" s="9">
        <f>+$D$224*I204/100</f>
        <v>1364.4738102038034</v>
      </c>
      <c r="E204" s="9">
        <f>+E205+E206+E207</f>
        <v>0</v>
      </c>
      <c r="F204" s="9">
        <f t="shared" si="16"/>
        <v>7786.1438102038037</v>
      </c>
      <c r="G204" s="9">
        <f>+G205+G206+G207</f>
        <v>0</v>
      </c>
      <c r="I204" s="16">
        <f t="shared" si="17"/>
        <v>48.278441163726988</v>
      </c>
    </row>
    <row r="205" spans="1:9">
      <c r="A205" s="22" t="s">
        <v>81</v>
      </c>
      <c r="B205" s="4"/>
      <c r="C205" s="9">
        <f t="shared" si="15"/>
        <v>0</v>
      </c>
      <c r="D205" s="9">
        <f>+$D$224*I205/100</f>
        <v>0</v>
      </c>
      <c r="E205" s="9"/>
      <c r="F205" s="9">
        <f t="shared" si="16"/>
        <v>0</v>
      </c>
      <c r="G205" s="9"/>
      <c r="I205" s="16">
        <f t="shared" si="17"/>
        <v>0</v>
      </c>
    </row>
    <row r="206" spans="1:9">
      <c r="A206" s="22" t="s">
        <v>82</v>
      </c>
      <c r="B206" s="4"/>
      <c r="C206" s="9">
        <f t="shared" si="15"/>
        <v>0</v>
      </c>
      <c r="D206" s="9">
        <f>+$D$224*I206/100</f>
        <v>0</v>
      </c>
      <c r="E206" s="9"/>
      <c r="F206" s="9">
        <f t="shared" si="16"/>
        <v>0</v>
      </c>
      <c r="G206" s="9"/>
      <c r="I206" s="16">
        <f t="shared" si="17"/>
        <v>0</v>
      </c>
    </row>
    <row r="207" spans="1:9">
      <c r="A207" s="22" t="s">
        <v>83</v>
      </c>
      <c r="B207" s="4"/>
      <c r="C207" s="9">
        <f t="shared" si="15"/>
        <v>0</v>
      </c>
      <c r="D207" s="9">
        <f>+$D$224*I207/100</f>
        <v>0</v>
      </c>
      <c r="E207" s="9"/>
      <c r="F207" s="9">
        <f t="shared" si="16"/>
        <v>0</v>
      </c>
      <c r="G207" s="9"/>
      <c r="I207" s="16">
        <f t="shared" si="17"/>
        <v>0</v>
      </c>
    </row>
    <row r="208" spans="1:9">
      <c r="A208" s="22"/>
      <c r="B208" s="4"/>
      <c r="C208" s="9">
        <f t="shared" si="15"/>
        <v>0</v>
      </c>
      <c r="D208" s="9">
        <f>+$D$224*I208/100</f>
        <v>0</v>
      </c>
      <c r="E208" s="9"/>
      <c r="F208" s="9">
        <f t="shared" si="16"/>
        <v>0</v>
      </c>
      <c r="G208" s="9"/>
      <c r="I208" s="16">
        <f t="shared" si="17"/>
        <v>0</v>
      </c>
    </row>
    <row r="209" spans="1:9">
      <c r="A209" s="22" t="s">
        <v>84</v>
      </c>
      <c r="B209" s="4"/>
      <c r="C209" s="9">
        <f t="shared" si="15"/>
        <v>0</v>
      </c>
      <c r="D209" s="9">
        <f>+$D$224*I209/100</f>
        <v>0</v>
      </c>
      <c r="E209" s="9"/>
      <c r="F209" s="9">
        <f t="shared" si="16"/>
        <v>0</v>
      </c>
      <c r="G209" s="9"/>
      <c r="I209" s="16">
        <f t="shared" si="17"/>
        <v>0</v>
      </c>
    </row>
    <row r="210" spans="1:9">
      <c r="A210" s="22" t="s">
        <v>85</v>
      </c>
      <c r="B210" s="4"/>
      <c r="C210" s="9">
        <f t="shared" si="15"/>
        <v>0</v>
      </c>
      <c r="D210" s="9">
        <f>+$D$224*I210/100</f>
        <v>0</v>
      </c>
      <c r="E210" s="9"/>
      <c r="F210" s="9">
        <f t="shared" si="16"/>
        <v>0</v>
      </c>
      <c r="G210" s="9"/>
      <c r="I210" s="16">
        <f t="shared" si="17"/>
        <v>0</v>
      </c>
    </row>
    <row r="211" spans="1:9">
      <c r="A211" s="22" t="s">
        <v>86</v>
      </c>
      <c r="B211" s="4"/>
      <c r="C211" s="9">
        <f t="shared" si="15"/>
        <v>0</v>
      </c>
      <c r="D211" s="9">
        <f>+$D$224*I211/100</f>
        <v>0</v>
      </c>
      <c r="E211" s="9"/>
      <c r="F211" s="9">
        <f t="shared" si="16"/>
        <v>0</v>
      </c>
      <c r="G211" s="9"/>
      <c r="I211" s="16">
        <f t="shared" si="17"/>
        <v>0</v>
      </c>
    </row>
    <row r="212" spans="1:9">
      <c r="A212" s="22" t="s">
        <v>62</v>
      </c>
      <c r="B212" s="4"/>
      <c r="C212" s="9">
        <f t="shared" si="15"/>
        <v>0</v>
      </c>
      <c r="D212" s="9">
        <f>+$D$224*I212/100</f>
        <v>0</v>
      </c>
      <c r="E212" s="9"/>
      <c r="F212" s="9">
        <f t="shared" si="16"/>
        <v>0</v>
      </c>
      <c r="G212" s="9"/>
      <c r="I212" s="16">
        <f t="shared" si="17"/>
        <v>0</v>
      </c>
    </row>
    <row r="213" spans="1:9">
      <c r="A213" s="15" t="s">
        <v>87</v>
      </c>
      <c r="B213" s="9"/>
      <c r="C213" s="9">
        <f t="shared" si="15"/>
        <v>7835.3600000000006</v>
      </c>
      <c r="D213" s="9">
        <f>+$D$224*I213/100</f>
        <v>1371.8622911486946</v>
      </c>
      <c r="E213" s="9">
        <f>+E214+E215+E216</f>
        <v>0</v>
      </c>
      <c r="F213" s="9">
        <f t="shared" si="16"/>
        <v>9207.2222911486951</v>
      </c>
      <c r="G213" s="9">
        <f>+G214+G215+G216</f>
        <v>0</v>
      </c>
      <c r="I213" s="16">
        <f t="shared" si="17"/>
        <v>48.53986380146452</v>
      </c>
    </row>
    <row r="214" spans="1:9">
      <c r="A214" s="14" t="s">
        <v>88</v>
      </c>
      <c r="B214" s="4"/>
      <c r="C214" s="9">
        <f t="shared" si="15"/>
        <v>0</v>
      </c>
      <c r="D214" s="9">
        <f>+$D$224*I214/100</f>
        <v>0</v>
      </c>
      <c r="E214" s="9"/>
      <c r="F214" s="9">
        <f t="shared" si="16"/>
        <v>0</v>
      </c>
      <c r="G214" s="9"/>
      <c r="I214" s="16">
        <f t="shared" si="17"/>
        <v>0</v>
      </c>
    </row>
    <row r="215" spans="1:9">
      <c r="A215" s="14" t="s">
        <v>89</v>
      </c>
      <c r="B215" s="4"/>
      <c r="C215" s="9">
        <f t="shared" si="15"/>
        <v>0</v>
      </c>
      <c r="D215" s="9">
        <f>+$D$224*I215/100</f>
        <v>0</v>
      </c>
      <c r="E215" s="9"/>
      <c r="F215" s="9">
        <f t="shared" si="16"/>
        <v>0</v>
      </c>
      <c r="G215" s="9"/>
      <c r="I215" s="16">
        <f t="shared" si="17"/>
        <v>0</v>
      </c>
    </row>
    <row r="216" spans="1:9">
      <c r="A216" s="22" t="s">
        <v>90</v>
      </c>
      <c r="B216" s="4"/>
      <c r="C216" s="9">
        <f t="shared" si="15"/>
        <v>0</v>
      </c>
      <c r="D216" s="9">
        <f>+$D$224*I216/100</f>
        <v>0</v>
      </c>
      <c r="E216" s="9"/>
      <c r="F216" s="9">
        <f t="shared" si="16"/>
        <v>0</v>
      </c>
      <c r="G216" s="9"/>
      <c r="I216" s="16">
        <f t="shared" si="17"/>
        <v>0</v>
      </c>
    </row>
    <row r="217" spans="1:9">
      <c r="A217" s="22" t="s">
        <v>62</v>
      </c>
      <c r="B217" s="4"/>
      <c r="C217" s="9">
        <f t="shared" si="15"/>
        <v>0</v>
      </c>
      <c r="D217" s="9">
        <f>+$D$224*I217/100</f>
        <v>0</v>
      </c>
      <c r="E217" s="9"/>
      <c r="F217" s="9">
        <f t="shared" si="16"/>
        <v>0</v>
      </c>
      <c r="G217" s="9"/>
      <c r="I217" s="16">
        <f t="shared" si="17"/>
        <v>0</v>
      </c>
    </row>
    <row r="218" spans="1:9">
      <c r="A218" s="23" t="s">
        <v>91</v>
      </c>
      <c r="B218" s="4"/>
      <c r="C218" s="9">
        <f t="shared" si="15"/>
        <v>2.73</v>
      </c>
      <c r="D218" s="9">
        <f>+$D$224*I218/100</f>
        <v>0.75082639833519282</v>
      </c>
      <c r="E218" s="9"/>
      <c r="F218" s="9">
        <f t="shared" si="16"/>
        <v>3.4808263983351928</v>
      </c>
      <c r="G218" s="9"/>
      <c r="I218" s="16">
        <f t="shared" si="17"/>
        <v>2.6566085640577004E-2</v>
      </c>
    </row>
    <row r="219" spans="1:9">
      <c r="A219" s="23" t="s">
        <v>92</v>
      </c>
      <c r="B219" s="4"/>
      <c r="C219" s="9">
        <f>+F187+0.12</f>
        <v>9.0499999999999989</v>
      </c>
      <c r="D219" s="9">
        <f>+$D$224*I219/100</f>
        <v>1.3634829366627077</v>
      </c>
      <c r="E219" s="9"/>
      <c r="F219" s="9">
        <f t="shared" si="16"/>
        <v>10.413482936662707</v>
      </c>
      <c r="G219" s="9"/>
      <c r="I219" s="16">
        <f t="shared" si="17"/>
        <v>4.824338161945671E-2</v>
      </c>
    </row>
    <row r="220" spans="1:9">
      <c r="A220" s="23" t="s">
        <v>93</v>
      </c>
      <c r="B220" s="4"/>
      <c r="C220" s="9">
        <f>+F188+0.93</f>
        <v>71.55</v>
      </c>
      <c r="D220" s="9">
        <f>+$D$224*I220/100</f>
        <v>14.012246290226656</v>
      </c>
      <c r="E220" s="9"/>
      <c r="F220" s="9">
        <f t="shared" si="16"/>
        <v>85.562246290226653</v>
      </c>
      <c r="G220" s="9"/>
      <c r="I220" s="16">
        <f t="shared" si="17"/>
        <v>0.49578775571611461</v>
      </c>
    </row>
    <row r="221" spans="1:9">
      <c r="A221" s="23" t="s">
        <v>94</v>
      </c>
      <c r="B221" s="4"/>
      <c r="C221" s="9">
        <f t="shared" si="15"/>
        <v>0</v>
      </c>
      <c r="D221" s="9">
        <f>+$D$224*I221/100</f>
        <v>0</v>
      </c>
      <c r="E221" s="9"/>
      <c r="F221" s="9">
        <f t="shared" si="16"/>
        <v>0</v>
      </c>
      <c r="G221" s="9"/>
      <c r="I221" s="16">
        <f t="shared" si="17"/>
        <v>0</v>
      </c>
    </row>
    <row r="222" spans="1:9">
      <c r="A222" s="23" t="s">
        <v>62</v>
      </c>
      <c r="B222" s="4"/>
      <c r="C222" s="9">
        <f t="shared" si="15"/>
        <v>0</v>
      </c>
      <c r="D222" s="9">
        <f>+$D$224*I222/100</f>
        <v>0</v>
      </c>
      <c r="E222" s="9"/>
      <c r="F222" s="9">
        <f t="shared" si="16"/>
        <v>0</v>
      </c>
      <c r="G222" s="9"/>
      <c r="I222" s="16">
        <f t="shared" si="17"/>
        <v>0</v>
      </c>
    </row>
    <row r="223" spans="1:9">
      <c r="A223" s="23" t="s">
        <v>95</v>
      </c>
      <c r="B223" s="4"/>
      <c r="C223" s="9">
        <f t="shared" si="15"/>
        <v>0</v>
      </c>
      <c r="D223" s="9">
        <f>+$D$224*I223/100</f>
        <v>0</v>
      </c>
      <c r="E223" s="9"/>
      <c r="F223" s="9">
        <f t="shared" si="16"/>
        <v>0</v>
      </c>
      <c r="G223" s="9"/>
      <c r="I223" s="16">
        <f t="shared" si="17"/>
        <v>0</v>
      </c>
    </row>
    <row r="224" spans="1:9" ht="20.25" customHeight="1">
      <c r="A224" s="122" t="s">
        <v>96</v>
      </c>
      <c r="B224" s="122"/>
      <c r="C224" s="155">
        <f>+C199+C200+C201+C202+C203+C204+C209+C210+C211+C212+C213+C218+C219+C220+C221+C222+C223</f>
        <v>14825.829999999998</v>
      </c>
      <c r="D224" s="155">
        <f>+'1.1c(CWIP)'!I13</f>
        <v>2826.2590450599978</v>
      </c>
      <c r="E224" s="155">
        <f>+E199+E200+E201+E202+E203+E204+E209+E210+E211+E212+E213+E218+E219+E220+E221+E222+E223</f>
        <v>0</v>
      </c>
      <c r="F224" s="155">
        <f>+F199+F200+F201+F202+F203+F204+F209+F210+F211+F212+F213+F218+F219+F220+F221+F222+F223</f>
        <v>17652.089045060002</v>
      </c>
      <c r="G224" s="154">
        <f>+G199+G200+G201+G202+G203+G204+G209+G210+G211+G212+G213+G218+G219+G220+G221+G222+G223</f>
        <v>0</v>
      </c>
    </row>
    <row r="225" spans="1:9">
      <c r="C225" s="16"/>
      <c r="D225" s="16"/>
      <c r="E225" s="16"/>
      <c r="F225" s="16"/>
      <c r="G225" s="16"/>
    </row>
    <row r="226" spans="1:9">
      <c r="C226" s="16"/>
      <c r="D226" s="16"/>
      <c r="E226" s="16"/>
      <c r="F226" s="16"/>
      <c r="G226" s="16"/>
    </row>
    <row r="227" spans="1:9">
      <c r="C227" s="16"/>
      <c r="D227" s="16"/>
      <c r="E227" s="16"/>
      <c r="F227" s="16"/>
      <c r="G227" s="16"/>
    </row>
    <row r="228" spans="1:9" ht="20.100000000000001" customHeight="1">
      <c r="A228" s="20" t="s">
        <v>434</v>
      </c>
      <c r="C228" s="16"/>
      <c r="D228" s="16"/>
      <c r="E228" t="s">
        <v>365</v>
      </c>
      <c r="F228" s="16"/>
      <c r="G228" s="16"/>
    </row>
    <row r="229" spans="1:9">
      <c r="A229" s="282" t="s">
        <v>74</v>
      </c>
      <c r="B229" s="281" t="s">
        <v>12</v>
      </c>
      <c r="C229" s="281" t="s">
        <v>97</v>
      </c>
      <c r="D229" s="281" t="s">
        <v>98</v>
      </c>
      <c r="E229" s="281" t="s">
        <v>99</v>
      </c>
      <c r="F229" s="281" t="s">
        <v>100</v>
      </c>
      <c r="G229" s="281" t="s">
        <v>101</v>
      </c>
    </row>
    <row r="230" spans="1:9" ht="38.25" customHeight="1">
      <c r="A230" s="282"/>
      <c r="B230" s="281"/>
      <c r="C230" s="281"/>
      <c r="D230" s="281"/>
      <c r="E230" s="281"/>
      <c r="F230" s="281"/>
      <c r="G230" s="281"/>
    </row>
    <row r="231" spans="1:9">
      <c r="A231" s="21" t="s">
        <v>75</v>
      </c>
      <c r="B231" s="4"/>
      <c r="C231" s="9">
        <f t="shared" ref="C231:C255" si="18">+F199</f>
        <v>61.432137610683469</v>
      </c>
      <c r="D231" s="9">
        <f>+$D$256*I231/100</f>
        <v>6.9031037429040634</v>
      </c>
      <c r="E231" s="9"/>
      <c r="F231" s="9">
        <f>+C231+D231+E231</f>
        <v>68.335241353587534</v>
      </c>
      <c r="G231" s="9"/>
      <c r="I231" s="16">
        <f>+I199</f>
        <v>0.3507158209014436</v>
      </c>
    </row>
    <row r="232" spans="1:9">
      <c r="A232" s="21" t="s">
        <v>76</v>
      </c>
      <c r="B232" s="4"/>
      <c r="C232" s="9">
        <f t="shared" si="18"/>
        <v>323.46748482599025</v>
      </c>
      <c r="D232" s="9">
        <f>+$D$256*I232/100</f>
        <v>33.336322259040166</v>
      </c>
      <c r="E232" s="9"/>
      <c r="F232" s="9">
        <f t="shared" ref="F232:F255" si="19">+C232+D232+E232</f>
        <v>356.80380708503043</v>
      </c>
      <c r="G232" s="9"/>
      <c r="I232" s="16">
        <f t="shared" ref="I232:I255" si="20">+I200</f>
        <v>1.6936694076099479</v>
      </c>
    </row>
    <row r="233" spans="1:9">
      <c r="A233" s="18" t="s">
        <v>77</v>
      </c>
      <c r="B233" s="4"/>
      <c r="C233" s="9">
        <f t="shared" si="18"/>
        <v>0</v>
      </c>
      <c r="D233" s="9">
        <f>+$D$256*I233/100</f>
        <v>0</v>
      </c>
      <c r="E233" s="9"/>
      <c r="F233" s="9">
        <f t="shared" si="19"/>
        <v>0</v>
      </c>
      <c r="G233" s="9"/>
      <c r="I233" s="16">
        <f t="shared" si="20"/>
        <v>0</v>
      </c>
    </row>
    <row r="234" spans="1:9">
      <c r="A234" s="18" t="s">
        <v>78</v>
      </c>
      <c r="B234" s="4"/>
      <c r="C234" s="9">
        <f t="shared" si="18"/>
        <v>0</v>
      </c>
      <c r="D234" s="9">
        <f>+$D$256*I234/100</f>
        <v>0</v>
      </c>
      <c r="E234" s="9"/>
      <c r="F234" s="9">
        <f t="shared" si="19"/>
        <v>0</v>
      </c>
      <c r="G234" s="9"/>
      <c r="I234" s="16">
        <f t="shared" si="20"/>
        <v>0</v>
      </c>
    </row>
    <row r="235" spans="1:9">
      <c r="A235" s="18" t="s">
        <v>79</v>
      </c>
      <c r="B235" s="4"/>
      <c r="C235" s="9">
        <f t="shared" si="18"/>
        <v>174.36676564560173</v>
      </c>
      <c r="D235" s="9">
        <f>+$D$256*I235/100</f>
        <v>11.154545994014571</v>
      </c>
      <c r="E235" s="9"/>
      <c r="F235" s="9">
        <f t="shared" si="19"/>
        <v>185.5213116396163</v>
      </c>
      <c r="G235" s="9"/>
      <c r="I235" s="16">
        <f t="shared" si="20"/>
        <v>0.56671258332095698</v>
      </c>
    </row>
    <row r="236" spans="1:9">
      <c r="A236" s="15" t="s">
        <v>80</v>
      </c>
      <c r="B236" s="9"/>
      <c r="C236" s="9">
        <f t="shared" si="18"/>
        <v>7786.1438102038037</v>
      </c>
      <c r="D236" s="9">
        <f>+$D$256*I236/100</f>
        <v>950.25963482996553</v>
      </c>
      <c r="E236" s="9">
        <f>+E237+E238+E239</f>
        <v>0</v>
      </c>
      <c r="F236" s="9">
        <f t="shared" si="19"/>
        <v>8736.4034450337695</v>
      </c>
      <c r="G236" s="9">
        <f>+G237+G238+G239</f>
        <v>0</v>
      </c>
      <c r="I236" s="16">
        <f t="shared" si="20"/>
        <v>48.278441163726988</v>
      </c>
    </row>
    <row r="237" spans="1:9">
      <c r="A237" s="22" t="s">
        <v>81</v>
      </c>
      <c r="B237" s="4"/>
      <c r="C237" s="9">
        <f t="shared" si="18"/>
        <v>0</v>
      </c>
      <c r="D237" s="9">
        <f>+$D$256*I237/100</f>
        <v>0</v>
      </c>
      <c r="E237" s="9"/>
      <c r="F237" s="9">
        <f t="shared" si="19"/>
        <v>0</v>
      </c>
      <c r="G237" s="9"/>
      <c r="I237" s="16">
        <f t="shared" si="20"/>
        <v>0</v>
      </c>
    </row>
    <row r="238" spans="1:9">
      <c r="A238" s="22" t="s">
        <v>82</v>
      </c>
      <c r="B238" s="4"/>
      <c r="C238" s="9">
        <f t="shared" si="18"/>
        <v>0</v>
      </c>
      <c r="D238" s="9">
        <f>+$D$256*I238/100</f>
        <v>0</v>
      </c>
      <c r="E238" s="9"/>
      <c r="F238" s="9">
        <f t="shared" si="19"/>
        <v>0</v>
      </c>
      <c r="G238" s="9"/>
      <c r="I238" s="16">
        <f t="shared" si="20"/>
        <v>0</v>
      </c>
    </row>
    <row r="239" spans="1:9">
      <c r="A239" s="22" t="s">
        <v>83</v>
      </c>
      <c r="B239" s="4"/>
      <c r="C239" s="9">
        <f t="shared" si="18"/>
        <v>0</v>
      </c>
      <c r="D239" s="9">
        <f>+$D$256*I239/100</f>
        <v>0</v>
      </c>
      <c r="E239" s="9"/>
      <c r="F239" s="9">
        <f t="shared" si="19"/>
        <v>0</v>
      </c>
      <c r="G239" s="9"/>
      <c r="I239" s="16">
        <f t="shared" si="20"/>
        <v>0</v>
      </c>
    </row>
    <row r="240" spans="1:9">
      <c r="A240" s="22"/>
      <c r="B240" s="4"/>
      <c r="C240" s="9">
        <f t="shared" si="18"/>
        <v>0</v>
      </c>
      <c r="D240" s="9">
        <f>+$D$256*I240/100</f>
        <v>0</v>
      </c>
      <c r="E240" s="9"/>
      <c r="F240" s="9">
        <f t="shared" si="19"/>
        <v>0</v>
      </c>
      <c r="G240" s="9"/>
      <c r="I240" s="16">
        <f t="shared" si="20"/>
        <v>0</v>
      </c>
    </row>
    <row r="241" spans="1:9">
      <c r="A241" s="22" t="s">
        <v>84</v>
      </c>
      <c r="B241" s="4"/>
      <c r="C241" s="9">
        <f t="shared" si="18"/>
        <v>0</v>
      </c>
      <c r="D241" s="9">
        <f>+$D$256*I241/100</f>
        <v>0</v>
      </c>
      <c r="E241" s="9"/>
      <c r="F241" s="9">
        <f t="shared" si="19"/>
        <v>0</v>
      </c>
      <c r="G241" s="9"/>
      <c r="I241" s="16">
        <f t="shared" si="20"/>
        <v>0</v>
      </c>
    </row>
    <row r="242" spans="1:9">
      <c r="A242" s="22" t="s">
        <v>85</v>
      </c>
      <c r="B242" s="4"/>
      <c r="C242" s="9">
        <f t="shared" si="18"/>
        <v>0</v>
      </c>
      <c r="D242" s="9">
        <f>+$D$256*I242/100</f>
        <v>0</v>
      </c>
      <c r="E242" s="9"/>
      <c r="F242" s="9">
        <f t="shared" si="19"/>
        <v>0</v>
      </c>
      <c r="G242" s="9"/>
      <c r="I242" s="16">
        <f t="shared" si="20"/>
        <v>0</v>
      </c>
    </row>
    <row r="243" spans="1:9">
      <c r="A243" s="22" t="s">
        <v>86</v>
      </c>
      <c r="B243" s="4"/>
      <c r="C243" s="9">
        <f t="shared" si="18"/>
        <v>0</v>
      </c>
      <c r="D243" s="9">
        <f>+$D$256*I243/100</f>
        <v>0</v>
      </c>
      <c r="E243" s="9"/>
      <c r="F243" s="9">
        <f t="shared" si="19"/>
        <v>0</v>
      </c>
      <c r="G243" s="9"/>
      <c r="I243" s="16">
        <f t="shared" si="20"/>
        <v>0</v>
      </c>
    </row>
    <row r="244" spans="1:9">
      <c r="A244" s="22" t="s">
        <v>62</v>
      </c>
      <c r="B244" s="4"/>
      <c r="C244" s="9">
        <f t="shared" si="18"/>
        <v>0</v>
      </c>
      <c r="D244" s="9">
        <f>+$D$256*I244/100</f>
        <v>0</v>
      </c>
      <c r="E244" s="9"/>
      <c r="F244" s="9">
        <f t="shared" si="19"/>
        <v>0</v>
      </c>
      <c r="G244" s="9"/>
      <c r="I244" s="16">
        <f t="shared" si="20"/>
        <v>0</v>
      </c>
    </row>
    <row r="245" spans="1:9">
      <c r="A245" s="15" t="s">
        <v>87</v>
      </c>
      <c r="B245" s="9"/>
      <c r="C245" s="9">
        <f t="shared" si="18"/>
        <v>9207.2222911486951</v>
      </c>
      <c r="D245" s="9">
        <f>+$D$256*I245/100</f>
        <v>955.40518995321997</v>
      </c>
      <c r="E245" s="9">
        <f>+E246+E247+E248</f>
        <v>0</v>
      </c>
      <c r="F245" s="9">
        <f t="shared" si="19"/>
        <v>10162.627481101916</v>
      </c>
      <c r="G245" s="9">
        <f>+G246+G247+G248</f>
        <v>0</v>
      </c>
      <c r="I245" s="16">
        <f t="shared" si="20"/>
        <v>48.53986380146452</v>
      </c>
    </row>
    <row r="246" spans="1:9">
      <c r="A246" s="14" t="s">
        <v>88</v>
      </c>
      <c r="B246" s="4"/>
      <c r="C246" s="9">
        <f t="shared" si="18"/>
        <v>0</v>
      </c>
      <c r="D246" s="9">
        <f>+$D$256*I246/100</f>
        <v>0</v>
      </c>
      <c r="E246" s="9"/>
      <c r="F246" s="9">
        <f t="shared" si="19"/>
        <v>0</v>
      </c>
      <c r="G246" s="9"/>
      <c r="I246" s="16">
        <f t="shared" si="20"/>
        <v>0</v>
      </c>
    </row>
    <row r="247" spans="1:9">
      <c r="A247" s="14" t="s">
        <v>89</v>
      </c>
      <c r="B247" s="4"/>
      <c r="C247" s="9">
        <f t="shared" si="18"/>
        <v>0</v>
      </c>
      <c r="D247" s="9">
        <f>+$D$256*I247/100</f>
        <v>0</v>
      </c>
      <c r="E247" s="9"/>
      <c r="F247" s="9">
        <f t="shared" si="19"/>
        <v>0</v>
      </c>
      <c r="G247" s="9"/>
      <c r="I247" s="16">
        <f t="shared" si="20"/>
        <v>0</v>
      </c>
    </row>
    <row r="248" spans="1:9">
      <c r="A248" s="22" t="s">
        <v>90</v>
      </c>
      <c r="B248" s="4"/>
      <c r="C248" s="9">
        <f t="shared" si="18"/>
        <v>0</v>
      </c>
      <c r="D248" s="9">
        <f>+$D$256*I248/100</f>
        <v>0</v>
      </c>
      <c r="E248" s="9"/>
      <c r="F248" s="9">
        <f t="shared" si="19"/>
        <v>0</v>
      </c>
      <c r="G248" s="9"/>
      <c r="I248" s="16">
        <f t="shared" si="20"/>
        <v>0</v>
      </c>
    </row>
    <row r="249" spans="1:9">
      <c r="A249" s="22" t="s">
        <v>62</v>
      </c>
      <c r="B249" s="4"/>
      <c r="C249" s="9">
        <f t="shared" si="18"/>
        <v>0</v>
      </c>
      <c r="D249" s="9">
        <f>+$D$256*I249/100</f>
        <v>0</v>
      </c>
      <c r="E249" s="9"/>
      <c r="F249" s="9">
        <f t="shared" si="19"/>
        <v>0</v>
      </c>
      <c r="G249" s="9"/>
      <c r="I249" s="16">
        <f t="shared" si="20"/>
        <v>0</v>
      </c>
    </row>
    <row r="250" spans="1:9">
      <c r="A250" s="23" t="s">
        <v>91</v>
      </c>
      <c r="B250" s="4"/>
      <c r="C250" s="9">
        <f t="shared" si="18"/>
        <v>3.4808263983351928</v>
      </c>
      <c r="D250" s="9">
        <f>+$D$256*I250/100</f>
        <v>0.52289755491615508</v>
      </c>
      <c r="E250" s="9"/>
      <c r="F250" s="9">
        <f t="shared" si="19"/>
        <v>4.003723953251348</v>
      </c>
      <c r="G250" s="9"/>
      <c r="I250" s="16">
        <f t="shared" si="20"/>
        <v>2.6566085640577004E-2</v>
      </c>
    </row>
    <row r="251" spans="1:9">
      <c r="A251" s="23" t="s">
        <v>92</v>
      </c>
      <c r="B251" s="4"/>
      <c r="C251" s="9">
        <f t="shared" si="18"/>
        <v>10.413482936662707</v>
      </c>
      <c r="D251" s="9">
        <f>+$D$256*I251/100</f>
        <v>0.94956956139485615</v>
      </c>
      <c r="E251" s="9"/>
      <c r="F251" s="9">
        <f t="shared" si="19"/>
        <v>11.363052498057563</v>
      </c>
      <c r="G251" s="9"/>
      <c r="I251" s="16">
        <f t="shared" si="20"/>
        <v>4.824338161945671E-2</v>
      </c>
    </row>
    <row r="252" spans="1:9">
      <c r="A252" s="23" t="s">
        <v>93</v>
      </c>
      <c r="B252" s="4"/>
      <c r="C252" s="9">
        <f t="shared" si="18"/>
        <v>85.562246290226653</v>
      </c>
      <c r="D252" s="9">
        <f>+$D$256*I252/100</f>
        <v>9.7585398439487072</v>
      </c>
      <c r="E252" s="9"/>
      <c r="F252" s="9">
        <f t="shared" si="19"/>
        <v>95.320786134175364</v>
      </c>
      <c r="G252" s="9"/>
      <c r="I252" s="16">
        <f t="shared" si="20"/>
        <v>0.49578775571611461</v>
      </c>
    </row>
    <row r="253" spans="1:9">
      <c r="A253" s="23" t="s">
        <v>94</v>
      </c>
      <c r="B253" s="4"/>
      <c r="C253" s="9">
        <f t="shared" si="18"/>
        <v>0</v>
      </c>
      <c r="D253" s="9">
        <f>+$D$256*I253/100</f>
        <v>0</v>
      </c>
      <c r="E253" s="9"/>
      <c r="F253" s="9">
        <f t="shared" si="19"/>
        <v>0</v>
      </c>
      <c r="G253" s="9"/>
      <c r="I253" s="16">
        <f t="shared" si="20"/>
        <v>0</v>
      </c>
    </row>
    <row r="254" spans="1:9">
      <c r="A254" s="23" t="s">
        <v>62</v>
      </c>
      <c r="B254" s="4"/>
      <c r="C254" s="9">
        <f t="shared" si="18"/>
        <v>0</v>
      </c>
      <c r="D254" s="9">
        <f>+$D$256*I254/100</f>
        <v>0</v>
      </c>
      <c r="E254" s="9"/>
      <c r="F254" s="9">
        <f t="shared" si="19"/>
        <v>0</v>
      </c>
      <c r="G254" s="9"/>
      <c r="I254" s="16">
        <f t="shared" si="20"/>
        <v>0</v>
      </c>
    </row>
    <row r="255" spans="1:9">
      <c r="A255" s="23" t="s">
        <v>95</v>
      </c>
      <c r="B255" s="4"/>
      <c r="C255" s="9">
        <f t="shared" si="18"/>
        <v>0</v>
      </c>
      <c r="D255" s="9">
        <f>+$D$256*I255/100</f>
        <v>0</v>
      </c>
      <c r="E255" s="9"/>
      <c r="F255" s="9">
        <f t="shared" si="19"/>
        <v>0</v>
      </c>
      <c r="G255" s="9"/>
      <c r="I255" s="16">
        <f t="shared" si="20"/>
        <v>0</v>
      </c>
    </row>
    <row r="256" spans="1:9" ht="20.25" customHeight="1">
      <c r="A256" s="122" t="s">
        <v>96</v>
      </c>
      <c r="B256" s="122"/>
      <c r="C256" s="155">
        <f>+C231+C232+C233+C234+C235+C236+C241+C242+C243+C244+C245+C250+C251+C252+C253+C254+C255</f>
        <v>17652.089045060002</v>
      </c>
      <c r="D256" s="155">
        <f>+'1.1c(CWIP)'!J13</f>
        <v>1968.2898037394039</v>
      </c>
      <c r="E256" s="155">
        <f>+E231+E232+E233+E234+E235+E236+E241+E242+E243+E244+E245+E250+E251+E252+E253+E254+E255</f>
        <v>0</v>
      </c>
      <c r="F256" s="155">
        <f>+F231+F232+F233+F234+F235+F236+F241+F242+F243+F244+F245+F250+F251+F252+F253+F254+F255</f>
        <v>19620.378848799406</v>
      </c>
      <c r="G256" s="154">
        <f>+G231+G232+G233+G234+G235+G236+G241+G242+G243+G244+G245+G250+G251+G252+G253+G254+G255</f>
        <v>0</v>
      </c>
    </row>
    <row r="257" spans="1:9">
      <c r="C257" s="16"/>
      <c r="D257" s="16"/>
      <c r="E257" s="16"/>
      <c r="F257" s="16"/>
      <c r="G257" s="16"/>
    </row>
    <row r="258" spans="1:9">
      <c r="C258" s="16"/>
      <c r="D258" s="16"/>
      <c r="E258" s="16"/>
      <c r="F258" s="16"/>
      <c r="G258" s="16"/>
    </row>
    <row r="259" spans="1:9">
      <c r="C259" s="16"/>
      <c r="D259" s="16"/>
      <c r="E259" s="16"/>
      <c r="F259" s="16"/>
      <c r="G259" s="16"/>
    </row>
    <row r="260" spans="1:9" ht="20.100000000000001" customHeight="1">
      <c r="A260" s="20" t="s">
        <v>435</v>
      </c>
      <c r="C260" s="16"/>
      <c r="D260" s="16"/>
      <c r="E260" t="s">
        <v>365</v>
      </c>
      <c r="F260" s="16"/>
      <c r="G260" s="16"/>
    </row>
    <row r="261" spans="1:9">
      <c r="A261" s="282" t="s">
        <v>74</v>
      </c>
      <c r="B261" s="281" t="s">
        <v>12</v>
      </c>
      <c r="C261" s="281" t="s">
        <v>97</v>
      </c>
      <c r="D261" s="281" t="s">
        <v>98</v>
      </c>
      <c r="E261" s="281" t="s">
        <v>99</v>
      </c>
      <c r="F261" s="281" t="s">
        <v>100</v>
      </c>
      <c r="G261" s="281" t="s">
        <v>101</v>
      </c>
    </row>
    <row r="262" spans="1:9" ht="38.25" customHeight="1">
      <c r="A262" s="282"/>
      <c r="B262" s="281"/>
      <c r="C262" s="281"/>
      <c r="D262" s="281"/>
      <c r="E262" s="281"/>
      <c r="F262" s="281"/>
      <c r="G262" s="281"/>
    </row>
    <row r="263" spans="1:9">
      <c r="A263" s="21" t="s">
        <v>75</v>
      </c>
      <c r="B263" s="4"/>
      <c r="C263" s="9">
        <f t="shared" ref="C263:C287" si="21">+F231</f>
        <v>68.335241353587534</v>
      </c>
      <c r="D263" s="9">
        <f>+$D$288*I263/100</f>
        <v>21.403703282545113</v>
      </c>
      <c r="E263" s="9"/>
      <c r="F263" s="9">
        <f>+C263+D263+E263</f>
        <v>89.738944636132643</v>
      </c>
      <c r="G263" s="9"/>
      <c r="I263" s="16">
        <f>+I231</f>
        <v>0.3507158209014436</v>
      </c>
    </row>
    <row r="264" spans="1:9">
      <c r="A264" s="21" t="s">
        <v>76</v>
      </c>
      <c r="B264" s="4"/>
      <c r="C264" s="9">
        <f t="shared" si="21"/>
        <v>356.80380708503043</v>
      </c>
      <c r="D264" s="9">
        <f>+$D$288*I264/100</f>
        <v>103.36231016334531</v>
      </c>
      <c r="E264" s="9"/>
      <c r="F264" s="9">
        <f t="shared" ref="F264:F287" si="22">+C264+D264+E264</f>
        <v>460.16611724837571</v>
      </c>
      <c r="G264" s="9"/>
      <c r="I264" s="16">
        <f t="shared" ref="I264:I287" si="23">+I232</f>
        <v>1.6936694076099479</v>
      </c>
    </row>
    <row r="265" spans="1:9">
      <c r="A265" s="18" t="s">
        <v>77</v>
      </c>
      <c r="B265" s="4"/>
      <c r="C265" s="9">
        <f t="shared" si="21"/>
        <v>0</v>
      </c>
      <c r="D265" s="9">
        <f>+$D$288*I265/100</f>
        <v>0</v>
      </c>
      <c r="E265" s="9"/>
      <c r="F265" s="9">
        <f t="shared" si="22"/>
        <v>0</v>
      </c>
      <c r="G265" s="9"/>
      <c r="I265" s="16">
        <f t="shared" si="23"/>
        <v>0</v>
      </c>
    </row>
    <row r="266" spans="1:9">
      <c r="A266" s="18" t="s">
        <v>78</v>
      </c>
      <c r="B266" s="4"/>
      <c r="C266" s="9">
        <f t="shared" si="21"/>
        <v>0</v>
      </c>
      <c r="D266" s="9">
        <f>+$D$288*I266/100</f>
        <v>0</v>
      </c>
      <c r="E266" s="9"/>
      <c r="F266" s="9">
        <f t="shared" si="22"/>
        <v>0</v>
      </c>
      <c r="G266" s="9"/>
      <c r="I266" s="16">
        <f t="shared" si="23"/>
        <v>0</v>
      </c>
    </row>
    <row r="267" spans="1:9">
      <c r="A267" s="18" t="s">
        <v>79</v>
      </c>
      <c r="B267" s="4"/>
      <c r="C267" s="9">
        <f t="shared" si="21"/>
        <v>185.5213116396163</v>
      </c>
      <c r="D267" s="9">
        <f>+$D$288*I267/100</f>
        <v>34.585688061374988</v>
      </c>
      <c r="E267" s="9"/>
      <c r="F267" s="9">
        <f t="shared" si="22"/>
        <v>220.10699970099128</v>
      </c>
      <c r="G267" s="9"/>
      <c r="I267" s="16">
        <f t="shared" si="23"/>
        <v>0.56671258332095698</v>
      </c>
    </row>
    <row r="268" spans="1:9">
      <c r="A268" s="15" t="s">
        <v>80</v>
      </c>
      <c r="B268" s="9"/>
      <c r="C268" s="9">
        <f t="shared" si="21"/>
        <v>8736.4034450337695</v>
      </c>
      <c r="D268" s="9">
        <f>+$D$288*I268/100</f>
        <v>2946.3667391914082</v>
      </c>
      <c r="E268" s="9">
        <f>+E269+E270+E271</f>
        <v>0</v>
      </c>
      <c r="F268" s="9">
        <f t="shared" si="22"/>
        <v>11682.770184225177</v>
      </c>
      <c r="G268" s="9">
        <f>+G269+G270+G271</f>
        <v>0</v>
      </c>
      <c r="I268" s="16">
        <f t="shared" si="23"/>
        <v>48.278441163726988</v>
      </c>
    </row>
    <row r="269" spans="1:9">
      <c r="A269" s="22" t="s">
        <v>81</v>
      </c>
      <c r="B269" s="4"/>
      <c r="C269" s="9">
        <f t="shared" si="21"/>
        <v>0</v>
      </c>
      <c r="D269" s="9">
        <f>+$D$288*I269/100</f>
        <v>0</v>
      </c>
      <c r="E269" s="9"/>
      <c r="F269" s="9">
        <f t="shared" si="22"/>
        <v>0</v>
      </c>
      <c r="G269" s="9"/>
      <c r="I269" s="16">
        <f t="shared" si="23"/>
        <v>0</v>
      </c>
    </row>
    <row r="270" spans="1:9">
      <c r="A270" s="22" t="s">
        <v>82</v>
      </c>
      <c r="B270" s="4"/>
      <c r="C270" s="9">
        <f t="shared" si="21"/>
        <v>0</v>
      </c>
      <c r="D270" s="9">
        <f>+$D$288*I270/100</f>
        <v>0</v>
      </c>
      <c r="E270" s="9"/>
      <c r="F270" s="9">
        <f t="shared" si="22"/>
        <v>0</v>
      </c>
      <c r="G270" s="9"/>
      <c r="I270" s="16">
        <f t="shared" si="23"/>
        <v>0</v>
      </c>
    </row>
    <row r="271" spans="1:9">
      <c r="A271" s="22" t="s">
        <v>83</v>
      </c>
      <c r="B271" s="4"/>
      <c r="C271" s="9">
        <f t="shared" si="21"/>
        <v>0</v>
      </c>
      <c r="D271" s="9">
        <f>+$D$288*I271/100</f>
        <v>0</v>
      </c>
      <c r="E271" s="9"/>
      <c r="F271" s="9">
        <f t="shared" si="22"/>
        <v>0</v>
      </c>
      <c r="G271" s="9"/>
      <c r="I271" s="16">
        <f t="shared" si="23"/>
        <v>0</v>
      </c>
    </row>
    <row r="272" spans="1:9">
      <c r="A272" s="22"/>
      <c r="B272" s="4"/>
      <c r="C272" s="9">
        <f t="shared" si="21"/>
        <v>0</v>
      </c>
      <c r="D272" s="9">
        <f>+$D$288*I272/100</f>
        <v>0</v>
      </c>
      <c r="E272" s="9"/>
      <c r="F272" s="9">
        <f t="shared" si="22"/>
        <v>0</v>
      </c>
      <c r="G272" s="9"/>
      <c r="I272" s="16">
        <f t="shared" si="23"/>
        <v>0</v>
      </c>
    </row>
    <row r="273" spans="1:9">
      <c r="A273" s="22" t="s">
        <v>84</v>
      </c>
      <c r="B273" s="4"/>
      <c r="C273" s="9">
        <f t="shared" si="21"/>
        <v>0</v>
      </c>
      <c r="D273" s="9">
        <f>+$D$288*I273/100</f>
        <v>0</v>
      </c>
      <c r="E273" s="9"/>
      <c r="F273" s="9">
        <f t="shared" si="22"/>
        <v>0</v>
      </c>
      <c r="G273" s="9"/>
      <c r="I273" s="16">
        <f t="shared" si="23"/>
        <v>0</v>
      </c>
    </row>
    <row r="274" spans="1:9">
      <c r="A274" s="22" t="s">
        <v>85</v>
      </c>
      <c r="B274" s="4"/>
      <c r="C274" s="9">
        <f t="shared" si="21"/>
        <v>0</v>
      </c>
      <c r="D274" s="9">
        <f>+$D$288*I274/100</f>
        <v>0</v>
      </c>
      <c r="E274" s="9"/>
      <c r="F274" s="9">
        <f t="shared" si="22"/>
        <v>0</v>
      </c>
      <c r="G274" s="9"/>
      <c r="I274" s="16">
        <f t="shared" si="23"/>
        <v>0</v>
      </c>
    </row>
    <row r="275" spans="1:9">
      <c r="A275" s="22" t="s">
        <v>86</v>
      </c>
      <c r="B275" s="4"/>
      <c r="C275" s="9">
        <f t="shared" si="21"/>
        <v>0</v>
      </c>
      <c r="D275" s="9">
        <f>+$D$288*I275/100</f>
        <v>0</v>
      </c>
      <c r="E275" s="9"/>
      <c r="F275" s="9">
        <f t="shared" si="22"/>
        <v>0</v>
      </c>
      <c r="G275" s="9"/>
      <c r="I275" s="16">
        <f t="shared" si="23"/>
        <v>0</v>
      </c>
    </row>
    <row r="276" spans="1:9">
      <c r="A276" s="22" t="s">
        <v>62</v>
      </c>
      <c r="B276" s="4"/>
      <c r="C276" s="9">
        <f t="shared" si="21"/>
        <v>0</v>
      </c>
      <c r="D276" s="9">
        <f>+$D$288*I276/100</f>
        <v>0</v>
      </c>
      <c r="E276" s="9"/>
      <c r="F276" s="9">
        <f t="shared" si="22"/>
        <v>0</v>
      </c>
      <c r="G276" s="9"/>
      <c r="I276" s="16">
        <f t="shared" si="23"/>
        <v>0</v>
      </c>
    </row>
    <row r="277" spans="1:9">
      <c r="A277" s="15" t="s">
        <v>87</v>
      </c>
      <c r="B277" s="9"/>
      <c r="C277" s="9">
        <f t="shared" si="21"/>
        <v>10162.627481101916</v>
      </c>
      <c r="D277" s="9">
        <f>+$D$288*I277/100</f>
        <v>2962.3210025465446</v>
      </c>
      <c r="E277" s="9">
        <f>+E278+E279+E280</f>
        <v>0</v>
      </c>
      <c r="F277" s="9">
        <f t="shared" si="22"/>
        <v>13124.948483648461</v>
      </c>
      <c r="G277" s="9">
        <f>+G278+G279+G280</f>
        <v>0</v>
      </c>
      <c r="I277" s="16">
        <f t="shared" si="23"/>
        <v>48.53986380146452</v>
      </c>
    </row>
    <row r="278" spans="1:9">
      <c r="A278" s="14" t="s">
        <v>88</v>
      </c>
      <c r="B278" s="4"/>
      <c r="C278" s="9">
        <f t="shared" si="21"/>
        <v>0</v>
      </c>
      <c r="D278" s="9">
        <f>+$D$288*I278/100</f>
        <v>0</v>
      </c>
      <c r="E278" s="9"/>
      <c r="F278" s="9">
        <f t="shared" si="22"/>
        <v>0</v>
      </c>
      <c r="G278" s="9"/>
      <c r="I278" s="16">
        <f t="shared" si="23"/>
        <v>0</v>
      </c>
    </row>
    <row r="279" spans="1:9">
      <c r="A279" s="14" t="s">
        <v>89</v>
      </c>
      <c r="B279" s="4"/>
      <c r="C279" s="9">
        <f t="shared" si="21"/>
        <v>0</v>
      </c>
      <c r="D279" s="9">
        <f>+$D$288*I279/100</f>
        <v>0</v>
      </c>
      <c r="E279" s="9"/>
      <c r="F279" s="9">
        <f t="shared" si="22"/>
        <v>0</v>
      </c>
      <c r="G279" s="9"/>
      <c r="I279" s="16">
        <f t="shared" si="23"/>
        <v>0</v>
      </c>
    </row>
    <row r="280" spans="1:9">
      <c r="A280" s="22" t="s">
        <v>90</v>
      </c>
      <c r="B280" s="4"/>
      <c r="C280" s="9">
        <f t="shared" si="21"/>
        <v>0</v>
      </c>
      <c r="D280" s="9">
        <f>+$D$288*I280/100</f>
        <v>0</v>
      </c>
      <c r="E280" s="9"/>
      <c r="F280" s="9">
        <f t="shared" si="22"/>
        <v>0</v>
      </c>
      <c r="G280" s="9"/>
      <c r="I280" s="16">
        <f t="shared" si="23"/>
        <v>0</v>
      </c>
    </row>
    <row r="281" spans="1:9">
      <c r="A281" s="22" t="s">
        <v>62</v>
      </c>
      <c r="B281" s="4"/>
      <c r="C281" s="9">
        <f t="shared" si="21"/>
        <v>0</v>
      </c>
      <c r="D281" s="9">
        <f>+$D$288*I281/100</f>
        <v>0</v>
      </c>
      <c r="E281" s="9"/>
      <c r="F281" s="9">
        <f t="shared" si="22"/>
        <v>0</v>
      </c>
      <c r="G281" s="9"/>
      <c r="I281" s="16">
        <f t="shared" si="23"/>
        <v>0</v>
      </c>
    </row>
    <row r="282" spans="1:9">
      <c r="A282" s="23" t="s">
        <v>91</v>
      </c>
      <c r="B282" s="4"/>
      <c r="C282" s="9">
        <f t="shared" si="21"/>
        <v>4.003723953251348</v>
      </c>
      <c r="D282" s="9">
        <f>+$D$288*I282/100</f>
        <v>1.621291600042706</v>
      </c>
      <c r="E282" s="9"/>
      <c r="F282" s="9">
        <f t="shared" si="22"/>
        <v>5.6250155532940536</v>
      </c>
      <c r="G282" s="9"/>
      <c r="I282" s="16">
        <f t="shared" si="23"/>
        <v>2.6566085640577004E-2</v>
      </c>
    </row>
    <row r="283" spans="1:9">
      <c r="A283" s="23" t="s">
        <v>92</v>
      </c>
      <c r="B283" s="4"/>
      <c r="C283" s="9">
        <f t="shared" si="21"/>
        <v>11.363052498057563</v>
      </c>
      <c r="D283" s="9">
        <f>+$D$288*I283/100</f>
        <v>2.9442271035147134</v>
      </c>
      <c r="E283" s="9"/>
      <c r="F283" s="9">
        <f t="shared" si="22"/>
        <v>14.307279601572276</v>
      </c>
      <c r="G283" s="9"/>
      <c r="I283" s="16">
        <f t="shared" si="23"/>
        <v>4.824338161945671E-2</v>
      </c>
    </row>
    <row r="284" spans="1:9">
      <c r="A284" s="23" t="s">
        <v>93</v>
      </c>
      <c r="B284" s="4"/>
      <c r="C284" s="9">
        <f t="shared" si="21"/>
        <v>95.320786134175364</v>
      </c>
      <c r="D284" s="9">
        <f>+$D$288*I284/100</f>
        <v>30.257243563154574</v>
      </c>
      <c r="E284" s="9"/>
      <c r="F284" s="9">
        <f t="shared" si="22"/>
        <v>125.57802969732994</v>
      </c>
      <c r="G284" s="9"/>
      <c r="I284" s="16">
        <f t="shared" si="23"/>
        <v>0.49578775571611461</v>
      </c>
    </row>
    <row r="285" spans="1:9">
      <c r="A285" s="23" t="s">
        <v>94</v>
      </c>
      <c r="B285" s="4"/>
      <c r="C285" s="9">
        <f t="shared" si="21"/>
        <v>0</v>
      </c>
      <c r="D285" s="9">
        <f>+$D$288*I285/100</f>
        <v>0</v>
      </c>
      <c r="E285" s="9"/>
      <c r="F285" s="9">
        <f t="shared" si="22"/>
        <v>0</v>
      </c>
      <c r="G285" s="9"/>
      <c r="I285" s="16">
        <f t="shared" si="23"/>
        <v>0</v>
      </c>
    </row>
    <row r="286" spans="1:9">
      <c r="A286" s="23" t="s">
        <v>62</v>
      </c>
      <c r="B286" s="4"/>
      <c r="C286" s="9">
        <f t="shared" si="21"/>
        <v>0</v>
      </c>
      <c r="D286" s="9">
        <f>+$D$288*I286/100</f>
        <v>0</v>
      </c>
      <c r="E286" s="9"/>
      <c r="F286" s="9">
        <f t="shared" si="22"/>
        <v>0</v>
      </c>
      <c r="G286" s="9"/>
      <c r="I286" s="16">
        <f t="shared" si="23"/>
        <v>0</v>
      </c>
    </row>
    <row r="287" spans="1:9">
      <c r="A287" s="23" t="s">
        <v>95</v>
      </c>
      <c r="B287" s="4"/>
      <c r="C287" s="9">
        <f t="shared" si="21"/>
        <v>0</v>
      </c>
      <c r="D287" s="9">
        <f>+$D$288*I287/100</f>
        <v>0</v>
      </c>
      <c r="E287" s="9"/>
      <c r="F287" s="9">
        <f t="shared" si="22"/>
        <v>0</v>
      </c>
      <c r="G287" s="9"/>
      <c r="I287" s="16">
        <f t="shared" si="23"/>
        <v>0</v>
      </c>
    </row>
    <row r="288" spans="1:9" ht="20.25" customHeight="1">
      <c r="A288" s="122" t="s">
        <v>96</v>
      </c>
      <c r="B288" s="122"/>
      <c r="C288" s="155">
        <f>+C263+C264+C265+C266+C267+C268+C273+C274+C275+C276+C277+C282+C283+C284+C285+C286+C287</f>
        <v>19620.378848799406</v>
      </c>
      <c r="D288" s="155">
        <f>+'1.1c(CWIP)'!K13</f>
        <v>6102.8622055119304</v>
      </c>
      <c r="E288" s="155">
        <f>+E263+E264+E265+E266+E267+E268+E273+E274+E275+E276+E277+E282+E283+E284+E285+E286+E287</f>
        <v>0</v>
      </c>
      <c r="F288" s="155">
        <f>+F263+F264+F265+F266+F267+F268+F273+F274+F275+F276+F277+F282+F283+F284+F285+F286+F287</f>
        <v>25723.241054311336</v>
      </c>
      <c r="G288" s="154">
        <f>+G263+G264+G265+G266+G267+G268+G273+G274+G275+G276+G277+G282+G283+G284+G285+G286+G287</f>
        <v>0</v>
      </c>
    </row>
    <row r="289" spans="1:9">
      <c r="C289" s="16"/>
      <c r="D289" s="16"/>
      <c r="E289" s="16"/>
      <c r="F289" s="16"/>
      <c r="G289" s="16"/>
    </row>
    <row r="290" spans="1:9">
      <c r="C290" s="16"/>
      <c r="D290" s="16"/>
      <c r="E290" s="16"/>
      <c r="F290" s="16"/>
      <c r="G290" s="16"/>
    </row>
    <row r="291" spans="1:9" ht="20.100000000000001" customHeight="1">
      <c r="C291" s="16"/>
      <c r="D291" s="16"/>
      <c r="E291" s="16"/>
      <c r="F291" s="16"/>
      <c r="G291" s="16"/>
    </row>
    <row r="292" spans="1:9" ht="20.100000000000001" customHeight="1">
      <c r="A292" s="20" t="s">
        <v>436</v>
      </c>
      <c r="C292" s="16"/>
      <c r="D292" s="16"/>
      <c r="E292" t="s">
        <v>365</v>
      </c>
      <c r="F292" s="16"/>
      <c r="G292" s="16"/>
    </row>
    <row r="293" spans="1:9">
      <c r="A293" s="282" t="s">
        <v>74</v>
      </c>
      <c r="B293" s="281" t="s">
        <v>12</v>
      </c>
      <c r="C293" s="281" t="s">
        <v>97</v>
      </c>
      <c r="D293" s="281" t="s">
        <v>98</v>
      </c>
      <c r="E293" s="281" t="s">
        <v>99</v>
      </c>
      <c r="F293" s="281" t="s">
        <v>100</v>
      </c>
      <c r="G293" s="281" t="s">
        <v>101</v>
      </c>
    </row>
    <row r="294" spans="1:9" ht="38.25" customHeight="1">
      <c r="A294" s="282"/>
      <c r="B294" s="281"/>
      <c r="C294" s="281"/>
      <c r="D294" s="281"/>
      <c r="E294" s="281"/>
      <c r="F294" s="281"/>
      <c r="G294" s="281"/>
    </row>
    <row r="295" spans="1:9">
      <c r="A295" s="21" t="s">
        <v>75</v>
      </c>
      <c r="B295" s="4"/>
      <c r="C295" s="9">
        <f t="shared" ref="C295:C319" si="24">+F263</f>
        <v>89.738944636132643</v>
      </c>
      <c r="D295" s="9">
        <f>+$D$320*I295/100</f>
        <v>2.7018607541308146</v>
      </c>
      <c r="E295" s="9"/>
      <c r="F295" s="9">
        <f>+C295+D295+E295</f>
        <v>92.440805390263463</v>
      </c>
      <c r="G295" s="9"/>
      <c r="I295" s="16">
        <f>+I263</f>
        <v>0.3507158209014436</v>
      </c>
    </row>
    <row r="296" spans="1:9">
      <c r="A296" s="21" t="s">
        <v>76</v>
      </c>
      <c r="B296" s="4"/>
      <c r="C296" s="9">
        <f t="shared" si="24"/>
        <v>460.16611724837571</v>
      </c>
      <c r="D296" s="9">
        <f>+$D$320*I296/100</f>
        <v>13.047768678160788</v>
      </c>
      <c r="E296" s="9"/>
      <c r="F296" s="9">
        <f t="shared" ref="F296:F319" si="25">+C296+D296+E296</f>
        <v>473.21388592653648</v>
      </c>
      <c r="G296" s="9"/>
      <c r="I296" s="16">
        <f t="shared" ref="I296:I319" si="26">+I264</f>
        <v>1.6936694076099479</v>
      </c>
    </row>
    <row r="297" spans="1:9">
      <c r="A297" s="18" t="s">
        <v>77</v>
      </c>
      <c r="B297" s="4"/>
      <c r="C297" s="9">
        <f t="shared" si="24"/>
        <v>0</v>
      </c>
      <c r="D297" s="9">
        <f>+$D$320*I297/100</f>
        <v>0</v>
      </c>
      <c r="E297" s="9"/>
      <c r="F297" s="9">
        <f t="shared" si="25"/>
        <v>0</v>
      </c>
      <c r="G297" s="9"/>
      <c r="I297" s="16">
        <f t="shared" si="26"/>
        <v>0</v>
      </c>
    </row>
    <row r="298" spans="1:9">
      <c r="A298" s="18" t="s">
        <v>78</v>
      </c>
      <c r="B298" s="4"/>
      <c r="C298" s="9">
        <f t="shared" si="24"/>
        <v>0</v>
      </c>
      <c r="D298" s="9">
        <f>+$D$320*I298/100</f>
        <v>0</v>
      </c>
      <c r="E298" s="9"/>
      <c r="F298" s="9">
        <f t="shared" si="25"/>
        <v>0</v>
      </c>
      <c r="G298" s="9"/>
      <c r="I298" s="16">
        <f t="shared" si="26"/>
        <v>0</v>
      </c>
    </row>
    <row r="299" spans="1:9">
      <c r="A299" s="18" t="s">
        <v>79</v>
      </c>
      <c r="B299" s="4"/>
      <c r="C299" s="9">
        <f t="shared" si="24"/>
        <v>220.10699970099128</v>
      </c>
      <c r="D299" s="9">
        <f>+$D$320*I299/100</f>
        <v>4.3658665976670248</v>
      </c>
      <c r="E299" s="9"/>
      <c r="F299" s="9">
        <f t="shared" si="25"/>
        <v>224.47286629865832</v>
      </c>
      <c r="G299" s="9"/>
      <c r="I299" s="16">
        <f t="shared" si="26"/>
        <v>0.56671258332095698</v>
      </c>
    </row>
    <row r="300" spans="1:9">
      <c r="A300" s="15" t="s">
        <v>80</v>
      </c>
      <c r="B300" s="9"/>
      <c r="C300" s="9">
        <f t="shared" si="24"/>
        <v>11682.770184225177</v>
      </c>
      <c r="D300" s="9">
        <f>+$D$320*I300/100</f>
        <v>371.92968687758059</v>
      </c>
      <c r="E300" s="9">
        <f>+E301+E302+E303</f>
        <v>0</v>
      </c>
      <c r="F300" s="9">
        <f t="shared" si="25"/>
        <v>12054.699871102757</v>
      </c>
      <c r="G300" s="9">
        <f>+G301+G302+G303</f>
        <v>0</v>
      </c>
      <c r="I300" s="16">
        <f t="shared" si="26"/>
        <v>48.278441163726988</v>
      </c>
    </row>
    <row r="301" spans="1:9">
      <c r="A301" s="22" t="s">
        <v>81</v>
      </c>
      <c r="B301" s="4"/>
      <c r="C301" s="9">
        <f t="shared" si="24"/>
        <v>0</v>
      </c>
      <c r="D301" s="9">
        <f>+$D$320*I301/100</f>
        <v>0</v>
      </c>
      <c r="E301" s="9"/>
      <c r="F301" s="9">
        <f t="shared" si="25"/>
        <v>0</v>
      </c>
      <c r="G301" s="9"/>
      <c r="I301" s="16">
        <f t="shared" si="26"/>
        <v>0</v>
      </c>
    </row>
    <row r="302" spans="1:9">
      <c r="A302" s="22" t="s">
        <v>82</v>
      </c>
      <c r="B302" s="4"/>
      <c r="C302" s="9">
        <f t="shared" si="24"/>
        <v>0</v>
      </c>
      <c r="D302" s="9">
        <f>+$D$320*I302/100</f>
        <v>0</v>
      </c>
      <c r="E302" s="9"/>
      <c r="F302" s="9">
        <f t="shared" si="25"/>
        <v>0</v>
      </c>
      <c r="G302" s="9"/>
      <c r="I302" s="16">
        <f t="shared" si="26"/>
        <v>0</v>
      </c>
    </row>
    <row r="303" spans="1:9">
      <c r="A303" s="22" t="s">
        <v>83</v>
      </c>
      <c r="B303" s="4"/>
      <c r="C303" s="9">
        <f t="shared" si="24"/>
        <v>0</v>
      </c>
      <c r="D303" s="9">
        <f>+$D$320*I303/100</f>
        <v>0</v>
      </c>
      <c r="E303" s="9"/>
      <c r="F303" s="9">
        <f t="shared" si="25"/>
        <v>0</v>
      </c>
      <c r="G303" s="9"/>
      <c r="I303" s="16">
        <f t="shared" si="26"/>
        <v>0</v>
      </c>
    </row>
    <row r="304" spans="1:9">
      <c r="A304" s="22"/>
      <c r="B304" s="4"/>
      <c r="C304" s="9">
        <f t="shared" si="24"/>
        <v>0</v>
      </c>
      <c r="D304" s="9">
        <f>+$D$320*I304/100</f>
        <v>0</v>
      </c>
      <c r="E304" s="9"/>
      <c r="F304" s="9">
        <f t="shared" si="25"/>
        <v>0</v>
      </c>
      <c r="G304" s="9"/>
      <c r="I304" s="16">
        <f t="shared" si="26"/>
        <v>0</v>
      </c>
    </row>
    <row r="305" spans="1:9">
      <c r="A305" s="22" t="s">
        <v>84</v>
      </c>
      <c r="B305" s="4"/>
      <c r="C305" s="9">
        <f t="shared" si="24"/>
        <v>0</v>
      </c>
      <c r="D305" s="9">
        <f>+$D$320*I305/100</f>
        <v>0</v>
      </c>
      <c r="E305" s="9"/>
      <c r="F305" s="9">
        <f t="shared" si="25"/>
        <v>0</v>
      </c>
      <c r="G305" s="9"/>
      <c r="I305" s="16">
        <f t="shared" si="26"/>
        <v>0</v>
      </c>
    </row>
    <row r="306" spans="1:9">
      <c r="A306" s="22" t="s">
        <v>85</v>
      </c>
      <c r="B306" s="4"/>
      <c r="C306" s="9">
        <f t="shared" si="24"/>
        <v>0</v>
      </c>
      <c r="D306" s="9">
        <f>+$D$320*I306/100</f>
        <v>0</v>
      </c>
      <c r="E306" s="9"/>
      <c r="F306" s="9">
        <f t="shared" si="25"/>
        <v>0</v>
      </c>
      <c r="G306" s="9"/>
      <c r="I306" s="16">
        <f t="shared" si="26"/>
        <v>0</v>
      </c>
    </row>
    <row r="307" spans="1:9">
      <c r="A307" s="22" t="s">
        <v>86</v>
      </c>
      <c r="B307" s="4"/>
      <c r="C307" s="9">
        <f t="shared" si="24"/>
        <v>0</v>
      </c>
      <c r="D307" s="9">
        <f>+$D$320*I307/100</f>
        <v>0</v>
      </c>
      <c r="E307" s="9"/>
      <c r="F307" s="9">
        <f t="shared" si="25"/>
        <v>0</v>
      </c>
      <c r="G307" s="9"/>
      <c r="I307" s="16">
        <f t="shared" si="26"/>
        <v>0</v>
      </c>
    </row>
    <row r="308" spans="1:9">
      <c r="A308" s="22" t="s">
        <v>62</v>
      </c>
      <c r="B308" s="4"/>
      <c r="C308" s="9">
        <f t="shared" si="24"/>
        <v>0</v>
      </c>
      <c r="D308" s="9">
        <f>+$D$320*I308/100</f>
        <v>0</v>
      </c>
      <c r="E308" s="9"/>
      <c r="F308" s="9">
        <f t="shared" si="25"/>
        <v>0</v>
      </c>
      <c r="G308" s="9"/>
      <c r="I308" s="16">
        <f t="shared" si="26"/>
        <v>0</v>
      </c>
    </row>
    <row r="309" spans="1:9">
      <c r="A309" s="15" t="s">
        <v>87</v>
      </c>
      <c r="B309" s="9"/>
      <c r="C309" s="9">
        <f t="shared" si="24"/>
        <v>13124.948483648461</v>
      </c>
      <c r="D309" s="9">
        <f>+$D$320*I309/100</f>
        <v>373.94364667936236</v>
      </c>
      <c r="E309" s="9">
        <f>+E310+E311+E312</f>
        <v>0</v>
      </c>
      <c r="F309" s="9">
        <f t="shared" si="25"/>
        <v>13498.892130327824</v>
      </c>
      <c r="G309" s="9">
        <f>+G310+G311+G312</f>
        <v>0</v>
      </c>
      <c r="I309" s="16">
        <f t="shared" si="26"/>
        <v>48.53986380146452</v>
      </c>
    </row>
    <row r="310" spans="1:9">
      <c r="A310" s="14" t="s">
        <v>88</v>
      </c>
      <c r="B310" s="4"/>
      <c r="C310" s="9">
        <f t="shared" si="24"/>
        <v>0</v>
      </c>
      <c r="D310" s="9">
        <f>+$D$320*I310/100</f>
        <v>0</v>
      </c>
      <c r="E310" s="9"/>
      <c r="F310" s="9">
        <f t="shared" si="25"/>
        <v>0</v>
      </c>
      <c r="G310" s="9"/>
      <c r="I310" s="16">
        <f t="shared" si="26"/>
        <v>0</v>
      </c>
    </row>
    <row r="311" spans="1:9">
      <c r="A311" s="14" t="s">
        <v>89</v>
      </c>
      <c r="B311" s="4"/>
      <c r="C311" s="9">
        <f t="shared" si="24"/>
        <v>0</v>
      </c>
      <c r="D311" s="9">
        <f>+$D$320*I311/100</f>
        <v>0</v>
      </c>
      <c r="E311" s="9"/>
      <c r="F311" s="9">
        <f t="shared" si="25"/>
        <v>0</v>
      </c>
      <c r="G311" s="9"/>
      <c r="I311" s="16">
        <f t="shared" si="26"/>
        <v>0</v>
      </c>
    </row>
    <row r="312" spans="1:9">
      <c r="A312" s="22" t="s">
        <v>90</v>
      </c>
      <c r="B312" s="4"/>
      <c r="C312" s="9">
        <f t="shared" si="24"/>
        <v>0</v>
      </c>
      <c r="D312" s="9">
        <f>+$D$320*I312/100</f>
        <v>0</v>
      </c>
      <c r="E312" s="9"/>
      <c r="F312" s="9">
        <f t="shared" si="25"/>
        <v>0</v>
      </c>
      <c r="G312" s="9"/>
      <c r="I312" s="16">
        <f t="shared" si="26"/>
        <v>0</v>
      </c>
    </row>
    <row r="313" spans="1:9">
      <c r="A313" s="22" t="s">
        <v>62</v>
      </c>
      <c r="B313" s="4"/>
      <c r="C313" s="9">
        <f t="shared" si="24"/>
        <v>0</v>
      </c>
      <c r="D313" s="9">
        <f>+$D$320*I313/100</f>
        <v>0</v>
      </c>
      <c r="E313" s="9"/>
      <c r="F313" s="9">
        <f t="shared" si="25"/>
        <v>0</v>
      </c>
      <c r="G313" s="9"/>
      <c r="I313" s="16">
        <f t="shared" si="26"/>
        <v>0</v>
      </c>
    </row>
    <row r="314" spans="1:9">
      <c r="A314" s="23" t="s">
        <v>91</v>
      </c>
      <c r="B314" s="4"/>
      <c r="C314" s="9">
        <f t="shared" si="24"/>
        <v>5.6250155532940536</v>
      </c>
      <c r="D314" s="9">
        <f>+$D$320*I314/100</f>
        <v>0.20466103866846613</v>
      </c>
      <c r="E314" s="9"/>
      <c r="F314" s="9">
        <f t="shared" si="25"/>
        <v>5.82967659196252</v>
      </c>
      <c r="G314" s="9"/>
      <c r="I314" s="16">
        <f t="shared" si="26"/>
        <v>2.6566085640577004E-2</v>
      </c>
    </row>
    <row r="315" spans="1:9">
      <c r="A315" s="23" t="s">
        <v>92</v>
      </c>
      <c r="B315" s="4"/>
      <c r="C315" s="9">
        <f t="shared" si="24"/>
        <v>14.307279601572276</v>
      </c>
      <c r="D315" s="9">
        <f>+$D$320*I315/100</f>
        <v>0.37165959353968075</v>
      </c>
      <c r="E315" s="9"/>
      <c r="F315" s="9">
        <f t="shared" si="25"/>
        <v>14.678939195111957</v>
      </c>
      <c r="G315" s="9"/>
      <c r="I315" s="16">
        <f t="shared" si="26"/>
        <v>4.824338161945671E-2</v>
      </c>
    </row>
    <row r="316" spans="1:9">
      <c r="A316" s="23" t="s">
        <v>93</v>
      </c>
      <c r="B316" s="4"/>
      <c r="C316" s="9">
        <f t="shared" si="24"/>
        <v>125.57802969732994</v>
      </c>
      <c r="D316" s="9">
        <f>+$D$320*I316/100</f>
        <v>3.8194726320156485</v>
      </c>
      <c r="E316" s="9"/>
      <c r="F316" s="9">
        <f t="shared" si="25"/>
        <v>129.3975023293456</v>
      </c>
      <c r="G316" s="9"/>
      <c r="I316" s="16">
        <f t="shared" si="26"/>
        <v>0.49578775571611461</v>
      </c>
    </row>
    <row r="317" spans="1:9">
      <c r="A317" s="23" t="s">
        <v>94</v>
      </c>
      <c r="B317" s="4"/>
      <c r="C317" s="9">
        <f t="shared" si="24"/>
        <v>0</v>
      </c>
      <c r="D317" s="9">
        <f>+$D$320*I317/100</f>
        <v>0</v>
      </c>
      <c r="E317" s="9"/>
      <c r="F317" s="9">
        <f t="shared" si="25"/>
        <v>0</v>
      </c>
      <c r="G317" s="9"/>
      <c r="I317" s="16">
        <f t="shared" si="26"/>
        <v>0</v>
      </c>
    </row>
    <row r="318" spans="1:9">
      <c r="A318" s="23" t="s">
        <v>62</v>
      </c>
      <c r="B318" s="4"/>
      <c r="C318" s="9">
        <f t="shared" si="24"/>
        <v>0</v>
      </c>
      <c r="D318" s="9">
        <f>+$D$320*I318/100</f>
        <v>0</v>
      </c>
      <c r="E318" s="9"/>
      <c r="F318" s="9">
        <f t="shared" si="25"/>
        <v>0</v>
      </c>
      <c r="G318" s="9"/>
      <c r="I318" s="16">
        <f t="shared" si="26"/>
        <v>0</v>
      </c>
    </row>
    <row r="319" spans="1:9">
      <c r="A319" s="23" t="s">
        <v>95</v>
      </c>
      <c r="B319" s="4"/>
      <c r="C319" s="9">
        <f t="shared" si="24"/>
        <v>0</v>
      </c>
      <c r="D319" s="9">
        <f>+$D$320*I319/100</f>
        <v>0</v>
      </c>
      <c r="E319" s="9"/>
      <c r="F319" s="9">
        <f t="shared" si="25"/>
        <v>0</v>
      </c>
      <c r="G319" s="9"/>
      <c r="I319" s="16">
        <f t="shared" si="26"/>
        <v>0</v>
      </c>
    </row>
    <row r="320" spans="1:9" ht="20.25" customHeight="1">
      <c r="A320" s="122" t="s">
        <v>96</v>
      </c>
      <c r="B320" s="122"/>
      <c r="C320" s="155">
        <f>+C295+C296+C297+C298+C299+C300+C305+C306+C307+C308+C309+C314+C315+C316+C317+C318+C319</f>
        <v>25723.241054311336</v>
      </c>
      <c r="D320" s="155">
        <f>+'1.1c(CWIP)'!L13</f>
        <v>770.38462285112541</v>
      </c>
      <c r="E320" s="155">
        <f>+E295+E296+E297+E298+E299+E300+E305+E306+E307+E308+E309+E314+E315+E316+E317+E318+E319</f>
        <v>0</v>
      </c>
      <c r="F320" s="155">
        <f>+F295+F296+F297+F298+F299+F300+F305+F306+F307+F308+F309+F314+F315+F316+F317+F318+F319</f>
        <v>26493.625677162461</v>
      </c>
      <c r="G320" s="154">
        <f>+G295+G296+G297+G298+G299+G300+G305+G306+G307+G308+G309+G314+G315+G316+G317+G318+G319</f>
        <v>0</v>
      </c>
    </row>
    <row r="321" spans="1:9">
      <c r="C321" s="16"/>
      <c r="D321" s="16"/>
      <c r="E321" s="16"/>
      <c r="F321" s="16"/>
      <c r="G321" s="16"/>
    </row>
    <row r="322" spans="1:9">
      <c r="C322" s="16"/>
      <c r="D322" s="16"/>
      <c r="E322" s="16"/>
      <c r="F322" s="16"/>
      <c r="G322" s="16"/>
    </row>
    <row r="323" spans="1:9" ht="20.100000000000001" customHeight="1">
      <c r="C323" s="16"/>
      <c r="D323" s="16"/>
      <c r="E323" s="16"/>
      <c r="F323" s="16"/>
      <c r="G323" s="16"/>
    </row>
    <row r="324" spans="1:9" ht="20.100000000000001" customHeight="1">
      <c r="A324" s="20" t="s">
        <v>437</v>
      </c>
      <c r="C324" s="16"/>
      <c r="D324" s="16"/>
      <c r="E324" t="s">
        <v>365</v>
      </c>
      <c r="F324" s="16"/>
      <c r="G324" s="16"/>
    </row>
    <row r="325" spans="1:9">
      <c r="A325" s="282" t="s">
        <v>74</v>
      </c>
      <c r="B325" s="281" t="s">
        <v>12</v>
      </c>
      <c r="C325" s="281" t="s">
        <v>97</v>
      </c>
      <c r="D325" s="281" t="s">
        <v>98</v>
      </c>
      <c r="E325" s="281" t="s">
        <v>99</v>
      </c>
      <c r="F325" s="281" t="s">
        <v>100</v>
      </c>
      <c r="G325" s="281" t="s">
        <v>101</v>
      </c>
    </row>
    <row r="326" spans="1:9" ht="38.25" customHeight="1">
      <c r="A326" s="282"/>
      <c r="B326" s="281"/>
      <c r="C326" s="281"/>
      <c r="D326" s="281"/>
      <c r="E326" s="281"/>
      <c r="F326" s="281"/>
      <c r="G326" s="281"/>
    </row>
    <row r="327" spans="1:9">
      <c r="A327" s="21" t="s">
        <v>75</v>
      </c>
      <c r="B327" s="4"/>
      <c r="C327" s="9">
        <f t="shared" ref="C327:C351" si="27">+F295</f>
        <v>92.440805390263463</v>
      </c>
      <c r="D327" s="9">
        <f>+$D$352*I327/100</f>
        <v>18.85492090325813</v>
      </c>
      <c r="E327" s="9"/>
      <c r="F327" s="9">
        <f>+C327+D327+E327</f>
        <v>111.2957262935216</v>
      </c>
      <c r="G327" s="9"/>
      <c r="I327" s="16">
        <f>+I295</f>
        <v>0.3507158209014436</v>
      </c>
    </row>
    <row r="328" spans="1:9">
      <c r="A328" s="21" t="s">
        <v>76</v>
      </c>
      <c r="B328" s="4"/>
      <c r="C328" s="9">
        <f t="shared" si="27"/>
        <v>473.21388592653648</v>
      </c>
      <c r="D328" s="9">
        <f>+$D$352*I328/100</f>
        <v>91.053784327931865</v>
      </c>
      <c r="E328" s="9"/>
      <c r="F328" s="9">
        <f t="shared" ref="F328:F351" si="28">+C328+D328+E328</f>
        <v>564.26767025446838</v>
      </c>
      <c r="G328" s="9"/>
      <c r="I328" s="16">
        <f t="shared" ref="I328:I351" si="29">+I296</f>
        <v>1.6936694076099479</v>
      </c>
    </row>
    <row r="329" spans="1:9">
      <c r="A329" s="18" t="s">
        <v>77</v>
      </c>
      <c r="B329" s="4"/>
      <c r="C329" s="9">
        <f t="shared" si="27"/>
        <v>0</v>
      </c>
      <c r="D329" s="9">
        <f>+$D$352*I329/100</f>
        <v>0</v>
      </c>
      <c r="E329" s="9"/>
      <c r="F329" s="9">
        <f t="shared" si="28"/>
        <v>0</v>
      </c>
      <c r="G329" s="9"/>
      <c r="I329" s="16">
        <f t="shared" si="29"/>
        <v>0</v>
      </c>
    </row>
    <row r="330" spans="1:9">
      <c r="A330" s="18" t="s">
        <v>78</v>
      </c>
      <c r="B330" s="4"/>
      <c r="C330" s="9">
        <f t="shared" si="27"/>
        <v>0</v>
      </c>
      <c r="D330" s="9">
        <f>+$D$352*I330/100</f>
        <v>0</v>
      </c>
      <c r="E330" s="9"/>
      <c r="F330" s="9">
        <f t="shared" si="28"/>
        <v>0</v>
      </c>
      <c r="G330" s="9"/>
      <c r="I330" s="16">
        <f t="shared" si="29"/>
        <v>0</v>
      </c>
    </row>
    <row r="331" spans="1:9">
      <c r="A331" s="18" t="s">
        <v>79</v>
      </c>
      <c r="B331" s="4"/>
      <c r="C331" s="9">
        <f t="shared" si="27"/>
        <v>224.47286629865832</v>
      </c>
      <c r="D331" s="9">
        <f>+$D$352*I331/100</f>
        <v>30.467176832608473</v>
      </c>
      <c r="E331" s="9"/>
      <c r="F331" s="9">
        <f t="shared" si="28"/>
        <v>254.9400431312668</v>
      </c>
      <c r="G331" s="9"/>
      <c r="I331" s="16">
        <f t="shared" si="29"/>
        <v>0.56671258332095698</v>
      </c>
    </row>
    <row r="332" spans="1:9">
      <c r="A332" s="15" t="s">
        <v>80</v>
      </c>
      <c r="B332" s="9"/>
      <c r="C332" s="9">
        <f t="shared" si="27"/>
        <v>12054.699871102757</v>
      </c>
      <c r="D332" s="9">
        <f>+$D$352*I332/100</f>
        <v>2595.5093418225861</v>
      </c>
      <c r="E332" s="9">
        <f>+E333+E334+E335</f>
        <v>0</v>
      </c>
      <c r="F332" s="9">
        <f t="shared" si="28"/>
        <v>14650.209212925343</v>
      </c>
      <c r="G332" s="9">
        <f>+G333+G334+G335</f>
        <v>0</v>
      </c>
      <c r="I332" s="16">
        <f t="shared" si="29"/>
        <v>48.278441163726988</v>
      </c>
    </row>
    <row r="333" spans="1:9">
      <c r="A333" s="22" t="s">
        <v>81</v>
      </c>
      <c r="B333" s="4"/>
      <c r="C333" s="9">
        <f t="shared" si="27"/>
        <v>0</v>
      </c>
      <c r="D333" s="9">
        <f>+$D$352*I333/100</f>
        <v>0</v>
      </c>
      <c r="E333" s="9"/>
      <c r="F333" s="9">
        <f t="shared" si="28"/>
        <v>0</v>
      </c>
      <c r="G333" s="9"/>
      <c r="I333" s="16">
        <f t="shared" si="29"/>
        <v>0</v>
      </c>
    </row>
    <row r="334" spans="1:9">
      <c r="A334" s="22" t="s">
        <v>82</v>
      </c>
      <c r="B334" s="4"/>
      <c r="C334" s="9">
        <f t="shared" si="27"/>
        <v>0</v>
      </c>
      <c r="D334" s="9">
        <f>+$D$352*I334/100</f>
        <v>0</v>
      </c>
      <c r="E334" s="9"/>
      <c r="F334" s="9">
        <f t="shared" si="28"/>
        <v>0</v>
      </c>
      <c r="G334" s="9"/>
      <c r="I334" s="16">
        <f t="shared" si="29"/>
        <v>0</v>
      </c>
    </row>
    <row r="335" spans="1:9">
      <c r="A335" s="22" t="s">
        <v>83</v>
      </c>
      <c r="B335" s="4"/>
      <c r="C335" s="9">
        <f t="shared" si="27"/>
        <v>0</v>
      </c>
      <c r="D335" s="9">
        <f>+$D$352*I335/100</f>
        <v>0</v>
      </c>
      <c r="E335" s="9"/>
      <c r="F335" s="9">
        <f t="shared" si="28"/>
        <v>0</v>
      </c>
      <c r="G335" s="9"/>
      <c r="I335" s="16">
        <f t="shared" si="29"/>
        <v>0</v>
      </c>
    </row>
    <row r="336" spans="1:9">
      <c r="A336" s="22"/>
      <c r="B336" s="4"/>
      <c r="C336" s="9">
        <f t="shared" si="27"/>
        <v>0</v>
      </c>
      <c r="D336" s="9">
        <f>+$D$352*I336/100</f>
        <v>0</v>
      </c>
      <c r="E336" s="9"/>
      <c r="F336" s="9">
        <f t="shared" si="28"/>
        <v>0</v>
      </c>
      <c r="G336" s="9"/>
      <c r="I336" s="16">
        <f t="shared" si="29"/>
        <v>0</v>
      </c>
    </row>
    <row r="337" spans="1:9">
      <c r="A337" s="22" t="s">
        <v>84</v>
      </c>
      <c r="B337" s="4"/>
      <c r="C337" s="9">
        <f t="shared" si="27"/>
        <v>0</v>
      </c>
      <c r="D337" s="9">
        <f>+$D$352*I337/100</f>
        <v>0</v>
      </c>
      <c r="E337" s="9"/>
      <c r="F337" s="9">
        <f t="shared" si="28"/>
        <v>0</v>
      </c>
      <c r="G337" s="9"/>
      <c r="I337" s="16">
        <f t="shared" si="29"/>
        <v>0</v>
      </c>
    </row>
    <row r="338" spans="1:9">
      <c r="A338" s="22" t="s">
        <v>85</v>
      </c>
      <c r="B338" s="4"/>
      <c r="C338" s="9">
        <f t="shared" si="27"/>
        <v>0</v>
      </c>
      <c r="D338" s="9">
        <f>+$D$352*I338/100</f>
        <v>0</v>
      </c>
      <c r="E338" s="9"/>
      <c r="F338" s="9">
        <f t="shared" si="28"/>
        <v>0</v>
      </c>
      <c r="G338" s="9"/>
      <c r="I338" s="16">
        <f t="shared" si="29"/>
        <v>0</v>
      </c>
    </row>
    <row r="339" spans="1:9">
      <c r="A339" s="22" t="s">
        <v>86</v>
      </c>
      <c r="B339" s="4"/>
      <c r="C339" s="9">
        <f t="shared" si="27"/>
        <v>0</v>
      </c>
      <c r="D339" s="9">
        <f>+$D$352*I339/100</f>
        <v>0</v>
      </c>
      <c r="E339" s="9"/>
      <c r="F339" s="9">
        <f t="shared" si="28"/>
        <v>0</v>
      </c>
      <c r="G339" s="9"/>
      <c r="I339" s="16">
        <f t="shared" si="29"/>
        <v>0</v>
      </c>
    </row>
    <row r="340" spans="1:9">
      <c r="A340" s="22" t="s">
        <v>62</v>
      </c>
      <c r="B340" s="4"/>
      <c r="C340" s="9">
        <f t="shared" si="27"/>
        <v>0</v>
      </c>
      <c r="D340" s="9">
        <f>+$D$352*I340/100</f>
        <v>0</v>
      </c>
      <c r="E340" s="9"/>
      <c r="F340" s="9">
        <f t="shared" si="28"/>
        <v>0</v>
      </c>
      <c r="G340" s="9"/>
      <c r="I340" s="16">
        <f t="shared" si="29"/>
        <v>0</v>
      </c>
    </row>
    <row r="341" spans="1:9">
      <c r="A341" s="15" t="s">
        <v>87</v>
      </c>
      <c r="B341" s="9"/>
      <c r="C341" s="9">
        <f t="shared" si="27"/>
        <v>13498.892130327824</v>
      </c>
      <c r="D341" s="9">
        <f>+$D$352*I341/100</f>
        <v>2609.5637495883748</v>
      </c>
      <c r="E341" s="9">
        <f>+E342+E343+E344</f>
        <v>0</v>
      </c>
      <c r="F341" s="9">
        <f t="shared" si="28"/>
        <v>16108.455879916199</v>
      </c>
      <c r="G341" s="9">
        <f>+G342+G343+G344</f>
        <v>0</v>
      </c>
      <c r="I341" s="16">
        <f t="shared" si="29"/>
        <v>48.53986380146452</v>
      </c>
    </row>
    <row r="342" spans="1:9">
      <c r="A342" s="14" t="s">
        <v>88</v>
      </c>
      <c r="B342" s="4"/>
      <c r="C342" s="9">
        <f t="shared" si="27"/>
        <v>0</v>
      </c>
      <c r="D342" s="9">
        <f>+$D$352*I342/100</f>
        <v>0</v>
      </c>
      <c r="E342" s="9"/>
      <c r="F342" s="9">
        <f t="shared" si="28"/>
        <v>0</v>
      </c>
      <c r="G342" s="9"/>
      <c r="I342" s="16">
        <f t="shared" si="29"/>
        <v>0</v>
      </c>
    </row>
    <row r="343" spans="1:9">
      <c r="A343" s="14" t="s">
        <v>89</v>
      </c>
      <c r="B343" s="4"/>
      <c r="C343" s="9">
        <f t="shared" si="27"/>
        <v>0</v>
      </c>
      <c r="D343" s="9">
        <f>+$D$352*I343/100</f>
        <v>0</v>
      </c>
      <c r="E343" s="9"/>
      <c r="F343" s="9">
        <f t="shared" si="28"/>
        <v>0</v>
      </c>
      <c r="G343" s="9"/>
      <c r="I343" s="16">
        <f t="shared" si="29"/>
        <v>0</v>
      </c>
    </row>
    <row r="344" spans="1:9">
      <c r="A344" s="22" t="s">
        <v>90</v>
      </c>
      <c r="B344" s="4"/>
      <c r="C344" s="9">
        <f t="shared" si="27"/>
        <v>0</v>
      </c>
      <c r="D344" s="9">
        <f>+$D$352*I344/100</f>
        <v>0</v>
      </c>
      <c r="E344" s="9"/>
      <c r="F344" s="9">
        <f t="shared" si="28"/>
        <v>0</v>
      </c>
      <c r="G344" s="9"/>
      <c r="I344" s="16">
        <f t="shared" si="29"/>
        <v>0</v>
      </c>
    </row>
    <row r="345" spans="1:9">
      <c r="A345" s="22" t="s">
        <v>62</v>
      </c>
      <c r="B345" s="4"/>
      <c r="C345" s="9">
        <f t="shared" si="27"/>
        <v>0</v>
      </c>
      <c r="D345" s="9">
        <f>+$D$352*I345/100</f>
        <v>0</v>
      </c>
      <c r="E345" s="9"/>
      <c r="F345" s="9">
        <f t="shared" si="28"/>
        <v>0</v>
      </c>
      <c r="G345" s="9"/>
      <c r="I345" s="16">
        <f t="shared" si="29"/>
        <v>0</v>
      </c>
    </row>
    <row r="346" spans="1:9">
      <c r="A346" s="23" t="s">
        <v>91</v>
      </c>
      <c r="B346" s="4"/>
      <c r="C346" s="9">
        <f t="shared" si="27"/>
        <v>5.82967659196252</v>
      </c>
      <c r="D346" s="9">
        <f>+$D$352*I346/100</f>
        <v>1.4282259698886577</v>
      </c>
      <c r="E346" s="9"/>
      <c r="F346" s="9">
        <f t="shared" si="28"/>
        <v>7.2579025618511777</v>
      </c>
      <c r="G346" s="9"/>
      <c r="I346" s="16">
        <f t="shared" si="29"/>
        <v>2.6566085640577004E-2</v>
      </c>
    </row>
    <row r="347" spans="1:9">
      <c r="A347" s="23" t="s">
        <v>92</v>
      </c>
      <c r="B347" s="4"/>
      <c r="C347" s="9">
        <f t="shared" si="27"/>
        <v>14.678939195111957</v>
      </c>
      <c r="D347" s="9">
        <f>+$D$352*I347/100</f>
        <v>2.5936244969005027</v>
      </c>
      <c r="E347" s="9"/>
      <c r="F347" s="9">
        <f t="shared" si="28"/>
        <v>17.272563692012458</v>
      </c>
      <c r="G347" s="9"/>
      <c r="I347" s="16">
        <f t="shared" si="29"/>
        <v>4.824338161945671E-2</v>
      </c>
    </row>
    <row r="348" spans="1:9">
      <c r="A348" s="23" t="s">
        <v>93</v>
      </c>
      <c r="B348" s="4"/>
      <c r="C348" s="9">
        <f t="shared" si="27"/>
        <v>129.3975023293456</v>
      </c>
      <c r="D348" s="9">
        <f>+$D$352*I348/100</f>
        <v>26.654169449225229</v>
      </c>
      <c r="E348" s="9"/>
      <c r="F348" s="9">
        <f t="shared" si="28"/>
        <v>156.05167177857084</v>
      </c>
      <c r="G348" s="9"/>
      <c r="I348" s="16">
        <f t="shared" si="29"/>
        <v>0.49578775571611461</v>
      </c>
    </row>
    <row r="349" spans="1:9">
      <c r="A349" s="23" t="s">
        <v>94</v>
      </c>
      <c r="B349" s="4"/>
      <c r="C349" s="9">
        <f t="shared" si="27"/>
        <v>0</v>
      </c>
      <c r="D349" s="9">
        <f>+$D$352*I349/100</f>
        <v>0</v>
      </c>
      <c r="E349" s="9"/>
      <c r="F349" s="9">
        <f t="shared" si="28"/>
        <v>0</v>
      </c>
      <c r="G349" s="9"/>
      <c r="I349" s="16">
        <f t="shared" si="29"/>
        <v>0</v>
      </c>
    </row>
    <row r="350" spans="1:9">
      <c r="A350" s="23" t="s">
        <v>62</v>
      </c>
      <c r="B350" s="4"/>
      <c r="C350" s="9">
        <f t="shared" si="27"/>
        <v>0</v>
      </c>
      <c r="D350" s="9">
        <f>+$D$352*I350/100</f>
        <v>0</v>
      </c>
      <c r="E350" s="9"/>
      <c r="F350" s="9">
        <f t="shared" si="28"/>
        <v>0</v>
      </c>
      <c r="G350" s="9"/>
      <c r="I350" s="16">
        <f t="shared" si="29"/>
        <v>0</v>
      </c>
    </row>
    <row r="351" spans="1:9">
      <c r="A351" s="23" t="s">
        <v>95</v>
      </c>
      <c r="B351" s="4"/>
      <c r="C351" s="9">
        <f t="shared" si="27"/>
        <v>0</v>
      </c>
      <c r="D351" s="9">
        <f>+$D$352*I351/100</f>
        <v>0</v>
      </c>
      <c r="E351" s="9"/>
      <c r="F351" s="9">
        <f t="shared" si="28"/>
        <v>0</v>
      </c>
      <c r="G351" s="9"/>
      <c r="I351" s="16">
        <f t="shared" si="29"/>
        <v>0</v>
      </c>
    </row>
    <row r="352" spans="1:9" ht="20.25" customHeight="1">
      <c r="A352" s="122" t="s">
        <v>96</v>
      </c>
      <c r="B352" s="122"/>
      <c r="C352" s="155">
        <f>+C327+C328+C329+C330+C331+C332+C337+C338+C339+C340+C341+C346+C347+C348+C349+C350+C351</f>
        <v>26493.625677162461</v>
      </c>
      <c r="D352" s="155">
        <f>+'1.1c(CWIP)'!M13</f>
        <v>5376.1249933907729</v>
      </c>
      <c r="E352" s="155">
        <f>+E327+E328+E329+E330+E331+E332+E337+E338+E339+E340+E341+E346+E347+E348+E349+E350+E351</f>
        <v>0</v>
      </c>
      <c r="F352" s="155">
        <f>+F327+F328+F329+F330+F331+F332+F337+F338+F339+F340+F341+F346+F347+F348+F349+F350+F351</f>
        <v>31869.750670553232</v>
      </c>
      <c r="G352" s="154">
        <f>+G327+G328+G329+G330+G331+G332+G337+G338+G339+G340+G341+G346+G347+G348+G349+G350+G351</f>
        <v>0</v>
      </c>
    </row>
    <row r="353" spans="3:7" ht="20.100000000000001" customHeight="1">
      <c r="C353" s="16"/>
      <c r="D353" s="16"/>
      <c r="E353" s="16"/>
      <c r="F353" s="16"/>
      <c r="G353" s="16"/>
    </row>
    <row r="354" spans="3:7" ht="20.100000000000001" customHeight="1"/>
    <row r="355" spans="3:7" ht="20.100000000000001" customHeight="1"/>
    <row r="356" spans="3:7" ht="20.100000000000001" customHeight="1"/>
    <row r="357" spans="3:7" ht="20.100000000000001" customHeight="1"/>
    <row r="358" spans="3:7" ht="20.100000000000001" customHeight="1"/>
    <row r="359" spans="3:7" ht="20.100000000000001" customHeight="1"/>
    <row r="360" spans="3:7" ht="20.100000000000001" customHeight="1"/>
    <row r="361" spans="3:7" ht="20.100000000000001" customHeight="1"/>
    <row r="362" spans="3:7" ht="20.100000000000001" customHeight="1"/>
    <row r="363" spans="3:7" ht="20.100000000000001" customHeight="1"/>
  </sheetData>
  <mergeCells count="77">
    <mergeCell ref="D69:D70"/>
    <mergeCell ref="D101:D102"/>
    <mergeCell ref="G5:G6"/>
    <mergeCell ref="A37:A38"/>
    <mergeCell ref="B37:B38"/>
    <mergeCell ref="C37:C38"/>
    <mergeCell ref="D37:D38"/>
    <mergeCell ref="E37:E38"/>
    <mergeCell ref="F37:F38"/>
    <mergeCell ref="G37:G38"/>
    <mergeCell ref="A5:A6"/>
    <mergeCell ref="B5:B6"/>
    <mergeCell ref="C5:C6"/>
    <mergeCell ref="D5:D6"/>
    <mergeCell ref="E5:E6"/>
    <mergeCell ref="F5:F6"/>
    <mergeCell ref="F101:F102"/>
    <mergeCell ref="G101:G102"/>
    <mergeCell ref="E69:E70"/>
    <mergeCell ref="F69:F70"/>
    <mergeCell ref="G69:G70"/>
    <mergeCell ref="E101:E102"/>
    <mergeCell ref="B101:B102"/>
    <mergeCell ref="C101:C102"/>
    <mergeCell ref="A69:A70"/>
    <mergeCell ref="B69:B70"/>
    <mergeCell ref="C69:C70"/>
    <mergeCell ref="A101:A102"/>
    <mergeCell ref="D133:D134"/>
    <mergeCell ref="E133:E134"/>
    <mergeCell ref="G133:G134"/>
    <mergeCell ref="A165:A166"/>
    <mergeCell ref="B165:B166"/>
    <mergeCell ref="C165:C166"/>
    <mergeCell ref="D165:D166"/>
    <mergeCell ref="E165:E166"/>
    <mergeCell ref="F165:F166"/>
    <mergeCell ref="G165:G166"/>
    <mergeCell ref="A133:A134"/>
    <mergeCell ref="B133:B134"/>
    <mergeCell ref="C133:C134"/>
    <mergeCell ref="F133:F134"/>
    <mergeCell ref="E197:E198"/>
    <mergeCell ref="F197:F198"/>
    <mergeCell ref="G197:G198"/>
    <mergeCell ref="A229:A230"/>
    <mergeCell ref="A197:A198"/>
    <mergeCell ref="B197:B198"/>
    <mergeCell ref="C197:C198"/>
    <mergeCell ref="D197:D198"/>
    <mergeCell ref="B229:B230"/>
    <mergeCell ref="C229:C230"/>
    <mergeCell ref="D229:D230"/>
    <mergeCell ref="E229:E230"/>
    <mergeCell ref="F229:F230"/>
    <mergeCell ref="E293:E294"/>
    <mergeCell ref="F293:F294"/>
    <mergeCell ref="G293:G294"/>
    <mergeCell ref="G229:G230"/>
    <mergeCell ref="A261:A262"/>
    <mergeCell ref="B261:B262"/>
    <mergeCell ref="A293:A294"/>
    <mergeCell ref="B293:B294"/>
    <mergeCell ref="C293:C294"/>
    <mergeCell ref="D293:D294"/>
    <mergeCell ref="C261:C262"/>
    <mergeCell ref="D261:D262"/>
    <mergeCell ref="E261:E262"/>
    <mergeCell ref="G261:G262"/>
    <mergeCell ref="F261:F262"/>
    <mergeCell ref="E325:E326"/>
    <mergeCell ref="F325:F326"/>
    <mergeCell ref="G325:G326"/>
    <mergeCell ref="A325:A326"/>
    <mergeCell ref="B325:B326"/>
    <mergeCell ref="C325:C326"/>
    <mergeCell ref="D325:D326"/>
  </mergeCells>
  <phoneticPr fontId="3" type="noConversion"/>
  <dataValidations count="1">
    <dataValidation type="decimal" allowBlank="1" showInputMessage="1" showErrorMessage="1" error="Enter in number format only" sqref="C293:F293 C325:F325 C261:F261 C197:F197 C133:F133 C69:F69 C5:F5 C37:F37 C101:F101 C165:F165 C229:F229">
      <formula1>-1000000000000000</formula1>
      <formula2>10000000000000000</formula2>
    </dataValidation>
  </dataValidations>
  <printOptions horizontalCentered="1" verticalCentered="1"/>
  <pageMargins left="0.45" right="0.31" top="0.53" bottom="0.33" header="0.31" footer="0.16"/>
  <pageSetup paperSize="9" orientation="landscape" r:id="rId1"/>
  <headerFooter alignWithMargins="0"/>
  <rowBreaks count="9" manualBreakCount="9">
    <brk id="66" max="6" man="1"/>
    <brk id="98" max="6" man="1"/>
    <brk id="129" max="6" man="1"/>
    <brk id="162" max="6" man="1"/>
    <brk id="194" max="16383" man="1"/>
    <brk id="226" max="16383" man="1"/>
    <brk id="258" max="16383" man="1"/>
    <brk id="290" max="16383" man="1"/>
    <brk id="322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1:M352"/>
  <sheetViews>
    <sheetView showGridLines="0" view="pageBreakPreview" topLeftCell="A342" zoomScaleSheetLayoutView="100" workbookViewId="0">
      <selection activeCell="A162" sqref="A162"/>
    </sheetView>
  </sheetViews>
  <sheetFormatPr defaultRowHeight="12.75"/>
  <cols>
    <col min="1" max="1" width="28.85546875" customWidth="1"/>
    <col min="2" max="3" width="13.85546875" customWidth="1"/>
    <col min="4" max="4" width="11.42578125" customWidth="1"/>
    <col min="5" max="5" width="11.28515625" bestFit="1" customWidth="1"/>
    <col min="6" max="6" width="13.7109375" customWidth="1"/>
    <col min="7" max="7" width="9.42578125" customWidth="1"/>
    <col min="8" max="8" width="12.28515625" customWidth="1"/>
    <col min="9" max="9" width="13.5703125" customWidth="1"/>
    <col min="10" max="10" width="13.85546875" customWidth="1"/>
    <col min="11" max="11" width="8.85546875" bestFit="1" customWidth="1"/>
  </cols>
  <sheetData>
    <row r="1" spans="1:11" hidden="1">
      <c r="A1" s="25" t="s">
        <v>103</v>
      </c>
    </row>
    <row r="2" spans="1:11" hidden="1">
      <c r="A2" s="26" t="s">
        <v>104</v>
      </c>
      <c r="H2" t="s">
        <v>365</v>
      </c>
    </row>
    <row r="3" spans="1:11" hidden="1">
      <c r="A3" s="25"/>
    </row>
    <row r="4" spans="1:11" hidden="1">
      <c r="A4" s="6" t="s">
        <v>17</v>
      </c>
    </row>
    <row r="5" spans="1:11" hidden="1">
      <c r="A5" s="285" t="s">
        <v>74</v>
      </c>
      <c r="B5" s="283" t="s">
        <v>106</v>
      </c>
      <c r="C5" s="283" t="s">
        <v>107</v>
      </c>
      <c r="D5" s="286" t="s">
        <v>98</v>
      </c>
      <c r="E5" s="286"/>
      <c r="F5" s="286"/>
      <c r="G5" s="286"/>
      <c r="H5" s="283" t="s">
        <v>108</v>
      </c>
      <c r="I5" s="283" t="s">
        <v>109</v>
      </c>
      <c r="J5" s="283" t="s">
        <v>110</v>
      </c>
      <c r="K5" s="283" t="s">
        <v>101</v>
      </c>
    </row>
    <row r="6" spans="1:11" ht="48" hidden="1">
      <c r="A6" s="285"/>
      <c r="B6" s="284"/>
      <c r="C6" s="284"/>
      <c r="D6" s="109" t="s">
        <v>111</v>
      </c>
      <c r="E6" s="108" t="s">
        <v>112</v>
      </c>
      <c r="F6" s="108" t="s">
        <v>113</v>
      </c>
      <c r="G6" s="108" t="s">
        <v>96</v>
      </c>
      <c r="H6" s="284"/>
      <c r="I6" s="284"/>
      <c r="J6" s="284"/>
      <c r="K6" s="284"/>
    </row>
    <row r="7" spans="1:11" hidden="1">
      <c r="A7" s="27" t="s">
        <v>75</v>
      </c>
      <c r="B7" s="4"/>
      <c r="C7" s="4"/>
      <c r="D7" s="4"/>
      <c r="E7" s="4"/>
      <c r="F7" s="4"/>
      <c r="G7" s="9">
        <f>+E7+F7</f>
        <v>0</v>
      </c>
      <c r="H7" s="4"/>
      <c r="I7" s="9">
        <f>+G7+H7</f>
        <v>0</v>
      </c>
      <c r="J7" s="4"/>
      <c r="K7" s="4"/>
    </row>
    <row r="8" spans="1:11" hidden="1">
      <c r="A8" s="21" t="s">
        <v>76</v>
      </c>
      <c r="B8" s="4"/>
      <c r="C8" s="4"/>
      <c r="D8" s="4"/>
      <c r="E8" s="4"/>
      <c r="F8" s="4"/>
      <c r="G8" s="9">
        <f>+E8+F8</f>
        <v>0</v>
      </c>
      <c r="H8" s="4"/>
      <c r="I8" s="9">
        <f>+B8+C8+G8+H8</f>
        <v>0</v>
      </c>
      <c r="J8" s="4"/>
      <c r="K8" s="4"/>
    </row>
    <row r="9" spans="1:11" hidden="1">
      <c r="A9" s="18" t="s">
        <v>77</v>
      </c>
      <c r="B9" s="4"/>
      <c r="C9" s="4"/>
      <c r="D9" s="4"/>
      <c r="E9" s="4"/>
      <c r="F9" s="4"/>
      <c r="G9" s="9">
        <f t="shared" ref="G9:G31" si="0">+E9+F9</f>
        <v>0</v>
      </c>
      <c r="H9" s="4"/>
      <c r="I9" s="9">
        <f t="shared" ref="I9:I31" si="1">+B9+C9+G9+H9</f>
        <v>0</v>
      </c>
      <c r="J9" s="4"/>
      <c r="K9" s="4"/>
    </row>
    <row r="10" spans="1:11" hidden="1">
      <c r="A10" s="18" t="s">
        <v>78</v>
      </c>
      <c r="B10" s="4"/>
      <c r="C10" s="4"/>
      <c r="D10" s="4"/>
      <c r="E10" s="4"/>
      <c r="F10" s="4"/>
      <c r="G10" s="9">
        <f t="shared" si="0"/>
        <v>0</v>
      </c>
      <c r="H10" s="4"/>
      <c r="I10" s="9">
        <f t="shared" si="1"/>
        <v>0</v>
      </c>
      <c r="J10" s="4"/>
      <c r="K10" s="4"/>
    </row>
    <row r="11" spans="1:11" hidden="1">
      <c r="A11" s="18" t="s">
        <v>79</v>
      </c>
      <c r="B11" s="4"/>
      <c r="C11" s="4"/>
      <c r="D11" s="4"/>
      <c r="E11" s="4"/>
      <c r="F11" s="4"/>
      <c r="G11" s="9">
        <f t="shared" si="0"/>
        <v>0</v>
      </c>
      <c r="H11" s="4"/>
      <c r="I11" s="9">
        <f t="shared" si="1"/>
        <v>0</v>
      </c>
      <c r="J11" s="4"/>
      <c r="K11" s="4"/>
    </row>
    <row r="12" spans="1:11" hidden="1">
      <c r="A12" s="15" t="s">
        <v>80</v>
      </c>
      <c r="B12" s="9"/>
      <c r="C12" s="9"/>
      <c r="D12" s="9"/>
      <c r="E12" s="9"/>
      <c r="F12" s="9"/>
      <c r="G12" s="9">
        <f t="shared" si="0"/>
        <v>0</v>
      </c>
      <c r="H12" s="9"/>
      <c r="I12" s="9">
        <f t="shared" si="1"/>
        <v>0</v>
      </c>
      <c r="J12" s="9"/>
      <c r="K12" s="9"/>
    </row>
    <row r="13" spans="1:11" hidden="1">
      <c r="A13" s="22" t="s">
        <v>81</v>
      </c>
      <c r="B13" s="4"/>
      <c r="C13" s="4"/>
      <c r="D13" s="4"/>
      <c r="E13" s="4"/>
      <c r="F13" s="4"/>
      <c r="G13" s="9">
        <f t="shared" si="0"/>
        <v>0</v>
      </c>
      <c r="H13" s="4"/>
      <c r="I13" s="9">
        <f t="shared" si="1"/>
        <v>0</v>
      </c>
      <c r="J13" s="4"/>
      <c r="K13" s="4"/>
    </row>
    <row r="14" spans="1:11" hidden="1">
      <c r="A14" s="22" t="s">
        <v>82</v>
      </c>
      <c r="B14" s="4"/>
      <c r="C14" s="4"/>
      <c r="D14" s="4"/>
      <c r="E14" s="4"/>
      <c r="F14" s="4"/>
      <c r="G14" s="9">
        <f t="shared" si="0"/>
        <v>0</v>
      </c>
      <c r="H14" s="4"/>
      <c r="I14" s="9">
        <f t="shared" si="1"/>
        <v>0</v>
      </c>
      <c r="J14" s="4"/>
      <c r="K14" s="4"/>
    </row>
    <row r="15" spans="1:11" hidden="1">
      <c r="A15" s="22" t="s">
        <v>83</v>
      </c>
      <c r="B15" s="4"/>
      <c r="C15" s="4"/>
      <c r="D15" s="4"/>
      <c r="E15" s="4"/>
      <c r="F15" s="4"/>
      <c r="G15" s="9">
        <f t="shared" si="0"/>
        <v>0</v>
      </c>
      <c r="H15" s="4"/>
      <c r="I15" s="9">
        <f t="shared" si="1"/>
        <v>0</v>
      </c>
      <c r="J15" s="4"/>
      <c r="K15" s="4"/>
    </row>
    <row r="16" spans="1:11" hidden="1">
      <c r="A16" s="22"/>
      <c r="B16" s="4"/>
      <c r="C16" s="4"/>
      <c r="D16" s="4"/>
      <c r="E16" s="4"/>
      <c r="F16" s="4"/>
      <c r="G16" s="9"/>
      <c r="H16" s="4"/>
      <c r="I16" s="9"/>
      <c r="J16" s="4"/>
      <c r="K16" s="4"/>
    </row>
    <row r="17" spans="1:11" hidden="1">
      <c r="A17" s="22" t="s">
        <v>84</v>
      </c>
      <c r="B17" s="4"/>
      <c r="C17" s="4"/>
      <c r="D17" s="4"/>
      <c r="E17" s="4"/>
      <c r="F17" s="4"/>
      <c r="G17" s="9">
        <f t="shared" si="0"/>
        <v>0</v>
      </c>
      <c r="H17" s="4"/>
      <c r="I17" s="9">
        <f t="shared" si="1"/>
        <v>0</v>
      </c>
      <c r="J17" s="4"/>
      <c r="K17" s="4"/>
    </row>
    <row r="18" spans="1:11" hidden="1">
      <c r="A18" s="22" t="s">
        <v>85</v>
      </c>
      <c r="B18" s="4"/>
      <c r="C18" s="4"/>
      <c r="D18" s="4"/>
      <c r="E18" s="4"/>
      <c r="F18" s="4"/>
      <c r="G18" s="9">
        <f t="shared" si="0"/>
        <v>0</v>
      </c>
      <c r="H18" s="4"/>
      <c r="I18" s="9">
        <f t="shared" si="1"/>
        <v>0</v>
      </c>
      <c r="J18" s="4"/>
      <c r="K18" s="4"/>
    </row>
    <row r="19" spans="1:11" hidden="1">
      <c r="A19" s="22" t="s">
        <v>86</v>
      </c>
      <c r="B19" s="4"/>
      <c r="C19" s="4"/>
      <c r="D19" s="4"/>
      <c r="E19" s="4"/>
      <c r="F19" s="4"/>
      <c r="G19" s="9">
        <f t="shared" si="0"/>
        <v>0</v>
      </c>
      <c r="H19" s="4"/>
      <c r="I19" s="9">
        <f t="shared" si="1"/>
        <v>0</v>
      </c>
      <c r="J19" s="4"/>
      <c r="K19" s="4"/>
    </row>
    <row r="20" spans="1:11" hidden="1">
      <c r="A20" s="22" t="s">
        <v>62</v>
      </c>
      <c r="B20" s="4"/>
      <c r="C20" s="4"/>
      <c r="D20" s="4"/>
      <c r="E20" s="4"/>
      <c r="F20" s="4"/>
      <c r="G20" s="9">
        <f t="shared" si="0"/>
        <v>0</v>
      </c>
      <c r="H20" s="4"/>
      <c r="I20" s="9">
        <f t="shared" si="1"/>
        <v>0</v>
      </c>
      <c r="J20" s="4"/>
      <c r="K20" s="4"/>
    </row>
    <row r="21" spans="1:11" hidden="1">
      <c r="A21" s="15" t="s">
        <v>87</v>
      </c>
      <c r="B21" s="9"/>
      <c r="C21" s="9"/>
      <c r="D21" s="9"/>
      <c r="E21" s="9"/>
      <c r="F21" s="9"/>
      <c r="G21" s="9">
        <f t="shared" si="0"/>
        <v>0</v>
      </c>
      <c r="H21" s="9"/>
      <c r="I21" s="9">
        <f t="shared" si="1"/>
        <v>0</v>
      </c>
      <c r="J21" s="9"/>
      <c r="K21" s="4"/>
    </row>
    <row r="22" spans="1:11" hidden="1">
      <c r="A22" s="14" t="s">
        <v>88</v>
      </c>
      <c r="B22" s="4"/>
      <c r="C22" s="4"/>
      <c r="D22" s="4"/>
      <c r="E22" s="4"/>
      <c r="F22" s="4"/>
      <c r="G22" s="9">
        <f t="shared" si="0"/>
        <v>0</v>
      </c>
      <c r="H22" s="4"/>
      <c r="I22" s="9">
        <f t="shared" si="1"/>
        <v>0</v>
      </c>
      <c r="J22" s="4"/>
      <c r="K22" s="4"/>
    </row>
    <row r="23" spans="1:11" hidden="1">
      <c r="A23" s="14" t="s">
        <v>89</v>
      </c>
      <c r="B23" s="4"/>
      <c r="C23" s="4"/>
      <c r="D23" s="4"/>
      <c r="E23" s="4"/>
      <c r="F23" s="4"/>
      <c r="G23" s="9">
        <f t="shared" si="0"/>
        <v>0</v>
      </c>
      <c r="H23" s="4"/>
      <c r="I23" s="9">
        <f t="shared" si="1"/>
        <v>0</v>
      </c>
      <c r="J23" s="4"/>
      <c r="K23" s="4"/>
    </row>
    <row r="24" spans="1:11" hidden="1">
      <c r="A24" s="22" t="s">
        <v>90</v>
      </c>
      <c r="B24" s="4"/>
      <c r="C24" s="4"/>
      <c r="D24" s="4"/>
      <c r="E24" s="4"/>
      <c r="F24" s="4"/>
      <c r="G24" s="9">
        <f t="shared" si="0"/>
        <v>0</v>
      </c>
      <c r="H24" s="4"/>
      <c r="I24" s="9">
        <f t="shared" si="1"/>
        <v>0</v>
      </c>
      <c r="J24" s="4"/>
      <c r="K24" s="4"/>
    </row>
    <row r="25" spans="1:11" hidden="1">
      <c r="A25" s="22" t="s">
        <v>62</v>
      </c>
      <c r="B25" s="4"/>
      <c r="C25" s="4"/>
      <c r="D25" s="4"/>
      <c r="E25" s="4"/>
      <c r="F25" s="4"/>
      <c r="G25" s="9">
        <f t="shared" si="0"/>
        <v>0</v>
      </c>
      <c r="H25" s="4"/>
      <c r="I25" s="9">
        <f t="shared" si="1"/>
        <v>0</v>
      </c>
      <c r="J25" s="4"/>
      <c r="K25" s="4"/>
    </row>
    <row r="26" spans="1:11" hidden="1">
      <c r="A26" s="23" t="s">
        <v>91</v>
      </c>
      <c r="B26" s="9"/>
      <c r="C26" s="4"/>
      <c r="D26" s="4"/>
      <c r="E26" s="4"/>
      <c r="F26" s="4"/>
      <c r="G26" s="9">
        <f t="shared" si="0"/>
        <v>0</v>
      </c>
      <c r="H26" s="4"/>
      <c r="I26" s="9">
        <f t="shared" si="1"/>
        <v>0</v>
      </c>
      <c r="J26" s="4"/>
      <c r="K26" s="4"/>
    </row>
    <row r="27" spans="1:11" hidden="1">
      <c r="A27" s="23" t="s">
        <v>92</v>
      </c>
      <c r="B27" s="4"/>
      <c r="C27" s="4"/>
      <c r="D27" s="4"/>
      <c r="E27" s="4"/>
      <c r="F27" s="4"/>
      <c r="G27" s="9">
        <f t="shared" si="0"/>
        <v>0</v>
      </c>
      <c r="H27" s="4"/>
      <c r="I27" s="9">
        <f t="shared" si="1"/>
        <v>0</v>
      </c>
      <c r="J27" s="4"/>
      <c r="K27" s="4"/>
    </row>
    <row r="28" spans="1:11" hidden="1">
      <c r="A28" s="23" t="s">
        <v>93</v>
      </c>
      <c r="B28" s="4"/>
      <c r="C28" s="4"/>
      <c r="D28" s="4"/>
      <c r="E28" s="4"/>
      <c r="F28" s="4"/>
      <c r="G28" s="9">
        <f t="shared" si="0"/>
        <v>0</v>
      </c>
      <c r="H28" s="4"/>
      <c r="I28" s="9">
        <f t="shared" si="1"/>
        <v>0</v>
      </c>
      <c r="J28" s="4"/>
      <c r="K28" s="4"/>
    </row>
    <row r="29" spans="1:11" hidden="1">
      <c r="A29" s="23" t="s">
        <v>94</v>
      </c>
      <c r="B29" s="4"/>
      <c r="C29" s="4"/>
      <c r="D29" s="4"/>
      <c r="E29" s="4"/>
      <c r="F29" s="4"/>
      <c r="G29" s="9">
        <f t="shared" si="0"/>
        <v>0</v>
      </c>
      <c r="H29" s="4"/>
      <c r="I29" s="9">
        <f t="shared" si="1"/>
        <v>0</v>
      </c>
      <c r="J29" s="4"/>
      <c r="K29" s="4"/>
    </row>
    <row r="30" spans="1:11" hidden="1">
      <c r="A30" s="23" t="s">
        <v>62</v>
      </c>
      <c r="B30" s="4"/>
      <c r="C30" s="4"/>
      <c r="D30" s="4"/>
      <c r="E30" s="4"/>
      <c r="F30" s="4"/>
      <c r="G30" s="9">
        <f t="shared" si="0"/>
        <v>0</v>
      </c>
      <c r="H30" s="4"/>
      <c r="I30" s="9">
        <f t="shared" si="1"/>
        <v>0</v>
      </c>
      <c r="J30" s="4"/>
      <c r="K30" s="4"/>
    </row>
    <row r="31" spans="1:11" hidden="1">
      <c r="A31" s="23" t="s">
        <v>95</v>
      </c>
      <c r="B31" s="4"/>
      <c r="C31" s="4"/>
      <c r="D31" s="4"/>
      <c r="E31" s="4"/>
      <c r="F31" s="4"/>
      <c r="G31" s="9">
        <f t="shared" si="0"/>
        <v>0</v>
      </c>
      <c r="H31" s="4"/>
      <c r="I31" s="9">
        <f t="shared" si="1"/>
        <v>0</v>
      </c>
      <c r="J31" s="4"/>
      <c r="K31" s="4"/>
    </row>
    <row r="32" spans="1:11" ht="19.5" hidden="1" customHeight="1">
      <c r="A32" s="122" t="s">
        <v>105</v>
      </c>
      <c r="B32" s="123">
        <f>+B7+B8+B9+B10+B11+B12+B21+B26+B27+B28+B29+B30+B31</f>
        <v>0</v>
      </c>
      <c r="C32" s="123">
        <f t="shared" ref="C32:J32" si="2">+C7+C8+C9+C10+C11+C12+C21+C26+C27+C28+C29+C30+C31</f>
        <v>0</v>
      </c>
      <c r="D32" s="123">
        <f t="shared" si="2"/>
        <v>0</v>
      </c>
      <c r="E32" s="123">
        <f t="shared" si="2"/>
        <v>0</v>
      </c>
      <c r="F32" s="123">
        <f t="shared" si="2"/>
        <v>0</v>
      </c>
      <c r="G32" s="123">
        <f t="shared" si="2"/>
        <v>0</v>
      </c>
      <c r="H32" s="123">
        <f t="shared" si="2"/>
        <v>0</v>
      </c>
      <c r="I32" s="123">
        <f t="shared" si="2"/>
        <v>0</v>
      </c>
      <c r="J32" s="123">
        <f t="shared" si="2"/>
        <v>0</v>
      </c>
      <c r="K32" s="124"/>
    </row>
    <row r="33" spans="1:11" hidden="1"/>
    <row r="34" spans="1:11" hidden="1"/>
    <row r="35" spans="1:11" hidden="1"/>
    <row r="36" spans="1:11" hidden="1">
      <c r="A36" s="6" t="s">
        <v>18</v>
      </c>
      <c r="H36" t="s">
        <v>365</v>
      </c>
    </row>
    <row r="37" spans="1:11" hidden="1">
      <c r="A37" s="285" t="s">
        <v>74</v>
      </c>
      <c r="B37" s="283" t="s">
        <v>106</v>
      </c>
      <c r="C37" s="283" t="s">
        <v>107</v>
      </c>
      <c r="D37" s="286" t="s">
        <v>98</v>
      </c>
      <c r="E37" s="286"/>
      <c r="F37" s="286"/>
      <c r="G37" s="286"/>
      <c r="H37" s="283" t="s">
        <v>108</v>
      </c>
      <c r="I37" s="283" t="s">
        <v>109</v>
      </c>
      <c r="J37" s="283" t="s">
        <v>110</v>
      </c>
      <c r="K37" s="283" t="s">
        <v>101</v>
      </c>
    </row>
    <row r="38" spans="1:11" ht="48" hidden="1">
      <c r="A38" s="285"/>
      <c r="B38" s="284"/>
      <c r="C38" s="284"/>
      <c r="D38" s="109" t="s">
        <v>111</v>
      </c>
      <c r="E38" s="108" t="s">
        <v>112</v>
      </c>
      <c r="F38" s="108" t="s">
        <v>113</v>
      </c>
      <c r="G38" s="108" t="s">
        <v>96</v>
      </c>
      <c r="H38" s="284"/>
      <c r="I38" s="284"/>
      <c r="J38" s="284"/>
      <c r="K38" s="284"/>
    </row>
    <row r="39" spans="1:11" hidden="1">
      <c r="A39" s="27" t="s">
        <v>75</v>
      </c>
      <c r="B39" s="9">
        <f t="shared" ref="B39:B63" si="3">+I7</f>
        <v>0</v>
      </c>
      <c r="C39" s="4"/>
      <c r="D39" s="4"/>
      <c r="E39" s="4"/>
      <c r="F39" s="4"/>
      <c r="G39" s="9">
        <f>+E39+F39</f>
        <v>0</v>
      </c>
      <c r="H39" s="4"/>
      <c r="I39" s="9">
        <f>+B39+C39+G39-H39</f>
        <v>0</v>
      </c>
      <c r="J39" s="4"/>
      <c r="K39" s="4"/>
    </row>
    <row r="40" spans="1:11" hidden="1">
      <c r="A40" s="21" t="s">
        <v>76</v>
      </c>
      <c r="B40" s="9">
        <v>22.91</v>
      </c>
      <c r="C40" s="4"/>
      <c r="D40" s="4"/>
      <c r="E40" s="4">
        <v>2.35</v>
      </c>
      <c r="F40" s="4"/>
      <c r="G40" s="9">
        <f>+E40+F40</f>
        <v>2.35</v>
      </c>
      <c r="H40" s="4"/>
      <c r="I40" s="9">
        <f>+B40+C40+G40-H40</f>
        <v>25.26</v>
      </c>
      <c r="J40" s="4"/>
      <c r="K40" s="4"/>
    </row>
    <row r="41" spans="1:11" hidden="1">
      <c r="A41" s="18" t="s">
        <v>77</v>
      </c>
      <c r="B41" s="9">
        <f t="shared" si="3"/>
        <v>0</v>
      </c>
      <c r="C41" s="4"/>
      <c r="D41" s="4"/>
      <c r="E41" s="4"/>
      <c r="F41" s="4"/>
      <c r="G41" s="9">
        <f t="shared" ref="G41:G63" si="4">+E41+F41</f>
        <v>0</v>
      </c>
      <c r="H41" s="4"/>
      <c r="I41" s="9">
        <f t="shared" ref="I41:I63" si="5">+B41+C41+G41-H41</f>
        <v>0</v>
      </c>
      <c r="J41" s="4"/>
      <c r="K41" s="4"/>
    </row>
    <row r="42" spans="1:11" hidden="1">
      <c r="A42" s="18" t="s">
        <v>78</v>
      </c>
      <c r="B42" s="9">
        <f t="shared" si="3"/>
        <v>0</v>
      </c>
      <c r="C42" s="4"/>
      <c r="D42" s="4"/>
      <c r="E42" s="4"/>
      <c r="F42" s="4"/>
      <c r="G42" s="9">
        <f t="shared" si="4"/>
        <v>0</v>
      </c>
      <c r="H42" s="4"/>
      <c r="I42" s="9">
        <f t="shared" si="5"/>
        <v>0</v>
      </c>
      <c r="J42" s="4"/>
      <c r="K42" s="4"/>
    </row>
    <row r="43" spans="1:11" hidden="1">
      <c r="A43" s="18" t="s">
        <v>79</v>
      </c>
      <c r="B43" s="9">
        <v>0.59</v>
      </c>
      <c r="C43" s="4"/>
      <c r="D43" s="4"/>
      <c r="E43" s="9">
        <v>0.1</v>
      </c>
      <c r="F43" s="4"/>
      <c r="G43" s="9">
        <f t="shared" si="4"/>
        <v>0.1</v>
      </c>
      <c r="H43" s="4"/>
      <c r="I43" s="9">
        <f t="shared" si="5"/>
        <v>0.69</v>
      </c>
      <c r="J43" s="4"/>
      <c r="K43" s="4"/>
    </row>
    <row r="44" spans="1:11" hidden="1">
      <c r="A44" s="15" t="s">
        <v>80</v>
      </c>
      <c r="B44" s="9">
        <f>1360.73-55.22</f>
        <v>1305.51</v>
      </c>
      <c r="C44" s="9"/>
      <c r="D44" s="9"/>
      <c r="E44" s="9">
        <f>118.07-0.04-5.54</f>
        <v>112.48999999999998</v>
      </c>
      <c r="F44" s="9">
        <v>5.53</v>
      </c>
      <c r="G44" s="9">
        <f t="shared" si="4"/>
        <v>118.01999999999998</v>
      </c>
      <c r="H44" s="9">
        <v>0</v>
      </c>
      <c r="I44" s="9">
        <f t="shared" si="5"/>
        <v>1423.53</v>
      </c>
      <c r="J44" s="9"/>
      <c r="K44" s="9"/>
    </row>
    <row r="45" spans="1:11" hidden="1">
      <c r="A45" s="22" t="s">
        <v>81</v>
      </c>
      <c r="B45" s="9">
        <f t="shared" si="3"/>
        <v>0</v>
      </c>
      <c r="C45" s="4"/>
      <c r="D45" s="4"/>
      <c r="E45" s="4"/>
      <c r="F45" s="4"/>
      <c r="G45" s="9">
        <f t="shared" si="4"/>
        <v>0</v>
      </c>
      <c r="H45" s="4"/>
      <c r="I45" s="9">
        <f t="shared" si="5"/>
        <v>0</v>
      </c>
      <c r="J45" s="4"/>
      <c r="K45" s="4"/>
    </row>
    <row r="46" spans="1:11" hidden="1">
      <c r="A46" s="22" t="s">
        <v>82</v>
      </c>
      <c r="B46" s="9">
        <f t="shared" si="3"/>
        <v>0</v>
      </c>
      <c r="C46" s="4"/>
      <c r="D46" s="4"/>
      <c r="E46" s="4"/>
      <c r="F46" s="4"/>
      <c r="G46" s="9">
        <f t="shared" si="4"/>
        <v>0</v>
      </c>
      <c r="H46" s="4"/>
      <c r="I46" s="9">
        <f t="shared" si="5"/>
        <v>0</v>
      </c>
      <c r="J46" s="4"/>
      <c r="K46" s="4"/>
    </row>
    <row r="47" spans="1:11" hidden="1">
      <c r="A47" s="22" t="s">
        <v>83</v>
      </c>
      <c r="B47" s="9">
        <f t="shared" si="3"/>
        <v>0</v>
      </c>
      <c r="C47" s="4"/>
      <c r="D47" s="4"/>
      <c r="E47" s="4"/>
      <c r="F47" s="4"/>
      <c r="G47" s="9">
        <f t="shared" si="4"/>
        <v>0</v>
      </c>
      <c r="H47" s="4"/>
      <c r="I47" s="9">
        <f t="shared" si="5"/>
        <v>0</v>
      </c>
      <c r="J47" s="4"/>
      <c r="K47" s="4"/>
    </row>
    <row r="48" spans="1:11" hidden="1">
      <c r="A48" s="22"/>
      <c r="B48" s="9"/>
      <c r="C48" s="4"/>
      <c r="D48" s="4"/>
      <c r="E48" s="4"/>
      <c r="F48" s="4"/>
      <c r="G48" s="9"/>
      <c r="H48" s="4"/>
      <c r="I48" s="9"/>
      <c r="J48" s="4"/>
      <c r="K48" s="4"/>
    </row>
    <row r="49" spans="1:11" hidden="1">
      <c r="A49" s="22" t="s">
        <v>84</v>
      </c>
      <c r="B49" s="9">
        <f t="shared" si="3"/>
        <v>0</v>
      </c>
      <c r="C49" s="4"/>
      <c r="D49" s="4"/>
      <c r="E49" s="4"/>
      <c r="F49" s="4"/>
      <c r="G49" s="9">
        <f t="shared" si="4"/>
        <v>0</v>
      </c>
      <c r="H49" s="4"/>
      <c r="I49" s="9">
        <f t="shared" si="5"/>
        <v>0</v>
      </c>
      <c r="J49" s="4"/>
      <c r="K49" s="4"/>
    </row>
    <row r="50" spans="1:11" hidden="1">
      <c r="A50" s="22" t="s">
        <v>85</v>
      </c>
      <c r="B50" s="9">
        <f t="shared" si="3"/>
        <v>0</v>
      </c>
      <c r="C50" s="4"/>
      <c r="D50" s="4"/>
      <c r="E50" s="4"/>
      <c r="F50" s="4"/>
      <c r="G50" s="9">
        <f t="shared" si="4"/>
        <v>0</v>
      </c>
      <c r="H50" s="4"/>
      <c r="I50" s="9">
        <f t="shared" si="5"/>
        <v>0</v>
      </c>
      <c r="J50" s="4"/>
      <c r="K50" s="4"/>
    </row>
    <row r="51" spans="1:11" hidden="1">
      <c r="A51" s="22" t="s">
        <v>86</v>
      </c>
      <c r="B51" s="9">
        <f t="shared" si="3"/>
        <v>0</v>
      </c>
      <c r="C51" s="4"/>
      <c r="D51" s="4"/>
      <c r="E51" s="4"/>
      <c r="F51" s="4"/>
      <c r="G51" s="9">
        <f t="shared" si="4"/>
        <v>0</v>
      </c>
      <c r="H51" s="4"/>
      <c r="I51" s="9">
        <f t="shared" si="5"/>
        <v>0</v>
      </c>
      <c r="J51" s="4"/>
      <c r="K51" s="4"/>
    </row>
    <row r="52" spans="1:11" hidden="1">
      <c r="A52" s="22" t="s">
        <v>62</v>
      </c>
      <c r="B52" s="9">
        <f t="shared" si="3"/>
        <v>0</v>
      </c>
      <c r="C52" s="4"/>
      <c r="D52" s="4"/>
      <c r="E52" s="4"/>
      <c r="F52" s="4"/>
      <c r="G52" s="9">
        <f t="shared" si="4"/>
        <v>0</v>
      </c>
      <c r="H52" s="4"/>
      <c r="I52" s="9">
        <f t="shared" si="5"/>
        <v>0</v>
      </c>
      <c r="J52" s="4"/>
      <c r="K52" s="4"/>
    </row>
    <row r="53" spans="1:11" hidden="1">
      <c r="A53" s="15" t="s">
        <v>87</v>
      </c>
      <c r="B53" s="9">
        <v>774.59</v>
      </c>
      <c r="C53" s="9"/>
      <c r="D53" s="9"/>
      <c r="E53" s="9">
        <v>92.15</v>
      </c>
      <c r="F53" s="9"/>
      <c r="G53" s="9">
        <f t="shared" si="4"/>
        <v>92.15</v>
      </c>
      <c r="H53" s="9"/>
      <c r="I53" s="9">
        <f t="shared" si="5"/>
        <v>866.74</v>
      </c>
      <c r="J53" s="9"/>
      <c r="K53" s="4"/>
    </row>
    <row r="54" spans="1:11" hidden="1">
      <c r="A54" s="14" t="s">
        <v>88</v>
      </c>
      <c r="B54" s="9">
        <f t="shared" si="3"/>
        <v>0</v>
      </c>
      <c r="C54" s="4"/>
      <c r="D54" s="4"/>
      <c r="E54" s="4"/>
      <c r="F54" s="4"/>
      <c r="G54" s="9">
        <f t="shared" si="4"/>
        <v>0</v>
      </c>
      <c r="H54" s="4"/>
      <c r="I54" s="9">
        <f t="shared" si="5"/>
        <v>0</v>
      </c>
      <c r="J54" s="4"/>
      <c r="K54" s="4"/>
    </row>
    <row r="55" spans="1:11" hidden="1">
      <c r="A55" s="14" t="s">
        <v>89</v>
      </c>
      <c r="B55" s="9">
        <f t="shared" si="3"/>
        <v>0</v>
      </c>
      <c r="C55" s="4"/>
      <c r="D55" s="4"/>
      <c r="E55" s="4"/>
      <c r="F55" s="4"/>
      <c r="G55" s="9">
        <f t="shared" si="4"/>
        <v>0</v>
      </c>
      <c r="H55" s="4"/>
      <c r="I55" s="9">
        <f t="shared" si="5"/>
        <v>0</v>
      </c>
      <c r="J55" s="4"/>
      <c r="K55" s="4"/>
    </row>
    <row r="56" spans="1:11" hidden="1">
      <c r="A56" s="22" t="s">
        <v>90</v>
      </c>
      <c r="B56" s="9">
        <f t="shared" si="3"/>
        <v>0</v>
      </c>
      <c r="C56" s="4"/>
      <c r="D56" s="4"/>
      <c r="E56" s="4"/>
      <c r="F56" s="4"/>
      <c r="G56" s="9">
        <f t="shared" si="4"/>
        <v>0</v>
      </c>
      <c r="H56" s="4"/>
      <c r="I56" s="9">
        <f t="shared" si="5"/>
        <v>0</v>
      </c>
      <c r="J56" s="4"/>
      <c r="K56" s="4"/>
    </row>
    <row r="57" spans="1:11" hidden="1">
      <c r="A57" s="22" t="s">
        <v>62</v>
      </c>
      <c r="B57" s="9">
        <f t="shared" si="3"/>
        <v>0</v>
      </c>
      <c r="C57" s="4"/>
      <c r="D57" s="4"/>
      <c r="E57" s="4"/>
      <c r="F57" s="4"/>
      <c r="G57" s="9">
        <f t="shared" si="4"/>
        <v>0</v>
      </c>
      <c r="H57" s="4"/>
      <c r="I57" s="9">
        <f t="shared" si="5"/>
        <v>0</v>
      </c>
      <c r="J57" s="4"/>
      <c r="K57" s="4"/>
    </row>
    <row r="58" spans="1:11" hidden="1">
      <c r="A58" s="23" t="s">
        <v>91</v>
      </c>
      <c r="B58" s="9">
        <v>1.31</v>
      </c>
      <c r="C58" s="4"/>
      <c r="D58" s="4"/>
      <c r="E58" s="4">
        <v>0.04</v>
      </c>
      <c r="F58" s="4"/>
      <c r="G58" s="9">
        <f t="shared" si="4"/>
        <v>0.04</v>
      </c>
      <c r="H58" s="4"/>
      <c r="I58" s="9">
        <f t="shared" si="5"/>
        <v>1.35</v>
      </c>
      <c r="J58" s="4"/>
      <c r="K58" s="4"/>
    </row>
    <row r="59" spans="1:11" hidden="1">
      <c r="A59" s="23" t="s">
        <v>92</v>
      </c>
      <c r="B59" s="9">
        <f>1.11-0.03</f>
        <v>1.08</v>
      </c>
      <c r="C59" s="4"/>
      <c r="D59" s="4"/>
      <c r="E59" s="4">
        <f>0.09-0.01</f>
        <v>0.08</v>
      </c>
      <c r="F59" s="4"/>
      <c r="G59" s="9">
        <f t="shared" si="4"/>
        <v>0.08</v>
      </c>
      <c r="H59" s="4"/>
      <c r="I59" s="9">
        <f t="shared" si="5"/>
        <v>1.1600000000000001</v>
      </c>
      <c r="J59" s="4"/>
      <c r="K59" s="4"/>
    </row>
    <row r="60" spans="1:11" hidden="1">
      <c r="A60" s="23" t="s">
        <v>93</v>
      </c>
      <c r="B60" s="9">
        <f>15.17-0.64</f>
        <v>14.53</v>
      </c>
      <c r="C60" s="4"/>
      <c r="D60" s="4"/>
      <c r="E60" s="4">
        <f>1.35-0.14</f>
        <v>1.21</v>
      </c>
      <c r="F60" s="4"/>
      <c r="G60" s="9">
        <f t="shared" si="4"/>
        <v>1.21</v>
      </c>
      <c r="H60" s="4"/>
      <c r="I60" s="9">
        <f t="shared" si="5"/>
        <v>15.739999999999998</v>
      </c>
      <c r="J60" s="4"/>
      <c r="K60" s="4"/>
    </row>
    <row r="61" spans="1:11" hidden="1">
      <c r="A61" s="23" t="s">
        <v>94</v>
      </c>
      <c r="B61" s="9">
        <f t="shared" si="3"/>
        <v>0</v>
      </c>
      <c r="C61" s="4"/>
      <c r="D61" s="4"/>
      <c r="E61" s="4"/>
      <c r="F61" s="4"/>
      <c r="G61" s="9">
        <f t="shared" si="4"/>
        <v>0</v>
      </c>
      <c r="H61" s="4"/>
      <c r="I61" s="9">
        <f t="shared" si="5"/>
        <v>0</v>
      </c>
      <c r="J61" s="4"/>
      <c r="K61" s="4"/>
    </row>
    <row r="62" spans="1:11" hidden="1">
      <c r="A62" s="23" t="s">
        <v>62</v>
      </c>
      <c r="B62" s="9">
        <f t="shared" si="3"/>
        <v>0</v>
      </c>
      <c r="C62" s="4"/>
      <c r="D62" s="4"/>
      <c r="E62" s="4"/>
      <c r="F62" s="4"/>
      <c r="G62" s="9">
        <f t="shared" si="4"/>
        <v>0</v>
      </c>
      <c r="H62" s="4"/>
      <c r="I62" s="9">
        <f t="shared" si="5"/>
        <v>0</v>
      </c>
      <c r="J62" s="4"/>
      <c r="K62" s="4"/>
    </row>
    <row r="63" spans="1:11" hidden="1">
      <c r="A63" s="23" t="s">
        <v>95</v>
      </c>
      <c r="B63" s="9">
        <f t="shared" si="3"/>
        <v>0</v>
      </c>
      <c r="C63" s="4"/>
      <c r="D63" s="4"/>
      <c r="E63" s="4"/>
      <c r="F63" s="4"/>
      <c r="G63" s="9">
        <f t="shared" si="4"/>
        <v>0</v>
      </c>
      <c r="H63" s="4"/>
      <c r="I63" s="9">
        <f t="shared" si="5"/>
        <v>0</v>
      </c>
      <c r="J63" s="4"/>
      <c r="K63" s="4"/>
    </row>
    <row r="64" spans="1:11" ht="19.5" hidden="1" customHeight="1">
      <c r="A64" s="122" t="s">
        <v>105</v>
      </c>
      <c r="B64" s="123">
        <f t="shared" ref="B64:J64" si="6">+B39+B40+B41+B42+B43+B44+B53+B58+B59+B60+B61+B62+B63</f>
        <v>2120.52</v>
      </c>
      <c r="C64" s="123">
        <f t="shared" si="6"/>
        <v>0</v>
      </c>
      <c r="D64" s="123">
        <f t="shared" si="6"/>
        <v>0</v>
      </c>
      <c r="E64" s="123">
        <f t="shared" si="6"/>
        <v>208.42</v>
      </c>
      <c r="F64" s="123">
        <f t="shared" si="6"/>
        <v>5.53</v>
      </c>
      <c r="G64" s="123">
        <f t="shared" si="6"/>
        <v>213.95000000000002</v>
      </c>
      <c r="H64" s="123">
        <f t="shared" si="6"/>
        <v>0</v>
      </c>
      <c r="I64" s="123">
        <f t="shared" si="6"/>
        <v>2334.4699999999998</v>
      </c>
      <c r="J64" s="123">
        <f t="shared" si="6"/>
        <v>0</v>
      </c>
      <c r="K64" s="124"/>
    </row>
    <row r="65" spans="1:11" hidden="1"/>
    <row r="66" spans="1:11" hidden="1"/>
    <row r="67" spans="1:11" hidden="1"/>
    <row r="68" spans="1:11" hidden="1">
      <c r="A68" s="6" t="s">
        <v>19</v>
      </c>
      <c r="H68" t="s">
        <v>365</v>
      </c>
    </row>
    <row r="69" spans="1:11" hidden="1">
      <c r="A69" s="285" t="s">
        <v>74</v>
      </c>
      <c r="B69" s="283" t="s">
        <v>106</v>
      </c>
      <c r="C69" s="283" t="s">
        <v>107</v>
      </c>
      <c r="D69" s="286" t="s">
        <v>98</v>
      </c>
      <c r="E69" s="286"/>
      <c r="F69" s="286"/>
      <c r="G69" s="286"/>
      <c r="H69" s="283" t="s">
        <v>108</v>
      </c>
      <c r="I69" s="283" t="s">
        <v>109</v>
      </c>
      <c r="J69" s="283" t="s">
        <v>110</v>
      </c>
      <c r="K69" s="283" t="s">
        <v>101</v>
      </c>
    </row>
    <row r="70" spans="1:11" ht="48" hidden="1">
      <c r="A70" s="285"/>
      <c r="B70" s="284"/>
      <c r="C70" s="284"/>
      <c r="D70" s="109" t="s">
        <v>111</v>
      </c>
      <c r="E70" s="108" t="s">
        <v>112</v>
      </c>
      <c r="F70" s="108" t="s">
        <v>113</v>
      </c>
      <c r="G70" s="108" t="s">
        <v>96</v>
      </c>
      <c r="H70" s="284"/>
      <c r="I70" s="284"/>
      <c r="J70" s="284"/>
      <c r="K70" s="284"/>
    </row>
    <row r="71" spans="1:11" hidden="1">
      <c r="A71" s="27" t="s">
        <v>75</v>
      </c>
      <c r="B71" s="9">
        <f t="shared" ref="B71:B95" si="7">+I39</f>
        <v>0</v>
      </c>
      <c r="C71" s="4"/>
      <c r="D71" s="4"/>
      <c r="E71" s="4"/>
      <c r="F71" s="4"/>
      <c r="G71" s="9">
        <f>+E71+F71</f>
        <v>0</v>
      </c>
      <c r="H71" s="4"/>
      <c r="I71" s="9">
        <f>+B71+C71+G71-H71</f>
        <v>0</v>
      </c>
      <c r="J71" s="4"/>
      <c r="K71" s="4"/>
    </row>
    <row r="72" spans="1:11" hidden="1">
      <c r="A72" s="21" t="s">
        <v>76</v>
      </c>
      <c r="B72" s="9">
        <f t="shared" si="7"/>
        <v>25.26</v>
      </c>
      <c r="C72" s="4"/>
      <c r="D72" s="4"/>
      <c r="E72" s="4">
        <v>2.75</v>
      </c>
      <c r="F72" s="4"/>
      <c r="G72" s="9">
        <f>+E72+F72</f>
        <v>2.75</v>
      </c>
      <c r="H72" s="4"/>
      <c r="I72" s="9">
        <f>+B72+C72+G72-H72</f>
        <v>28.01</v>
      </c>
      <c r="J72" s="4"/>
      <c r="K72" s="4"/>
    </row>
    <row r="73" spans="1:11" hidden="1">
      <c r="A73" s="18" t="s">
        <v>77</v>
      </c>
      <c r="B73" s="9">
        <f t="shared" si="7"/>
        <v>0</v>
      </c>
      <c r="C73" s="4"/>
      <c r="D73" s="4"/>
      <c r="E73" s="4"/>
      <c r="F73" s="4"/>
      <c r="G73" s="9">
        <f t="shared" ref="G73:G95" si="8">+E73+F73</f>
        <v>0</v>
      </c>
      <c r="H73" s="4"/>
      <c r="I73" s="9">
        <f t="shared" ref="I73:I95" si="9">+B73+C73+G73-H73</f>
        <v>0</v>
      </c>
      <c r="J73" s="4"/>
      <c r="K73" s="4"/>
    </row>
    <row r="74" spans="1:11" hidden="1">
      <c r="A74" s="18" t="s">
        <v>78</v>
      </c>
      <c r="B74" s="9">
        <f t="shared" si="7"/>
        <v>0</v>
      </c>
      <c r="C74" s="4"/>
      <c r="D74" s="4"/>
      <c r="E74" s="4"/>
      <c r="F74" s="4"/>
      <c r="G74" s="9">
        <f t="shared" si="8"/>
        <v>0</v>
      </c>
      <c r="H74" s="4"/>
      <c r="I74" s="9">
        <f t="shared" si="9"/>
        <v>0</v>
      </c>
      <c r="J74" s="4"/>
      <c r="K74" s="4"/>
    </row>
    <row r="75" spans="1:11" hidden="1">
      <c r="A75" s="18" t="s">
        <v>79</v>
      </c>
      <c r="B75" s="9">
        <f t="shared" si="7"/>
        <v>0.69</v>
      </c>
      <c r="C75" s="4"/>
      <c r="D75" s="4"/>
      <c r="E75" s="4">
        <v>0.28000000000000003</v>
      </c>
      <c r="F75" s="4"/>
      <c r="G75" s="9">
        <f t="shared" si="8"/>
        <v>0.28000000000000003</v>
      </c>
      <c r="H75" s="4"/>
      <c r="I75" s="9">
        <f t="shared" si="9"/>
        <v>0.97</v>
      </c>
      <c r="J75" s="4"/>
      <c r="K75" s="4"/>
    </row>
    <row r="76" spans="1:11" hidden="1">
      <c r="A76" s="15" t="s">
        <v>80</v>
      </c>
      <c r="B76" s="9">
        <f t="shared" si="7"/>
        <v>1423.53</v>
      </c>
      <c r="C76" s="9"/>
      <c r="D76" s="9"/>
      <c r="E76" s="9">
        <f>149.09-0.09-4.85</f>
        <v>144.15</v>
      </c>
      <c r="F76" s="9">
        <v>4.8499999999999996</v>
      </c>
      <c r="G76" s="9">
        <f t="shared" si="8"/>
        <v>149</v>
      </c>
      <c r="H76" s="9"/>
      <c r="I76" s="9">
        <f t="shared" si="9"/>
        <v>1572.53</v>
      </c>
      <c r="J76" s="9"/>
      <c r="K76" s="9"/>
    </row>
    <row r="77" spans="1:11" hidden="1">
      <c r="A77" s="22" t="s">
        <v>81</v>
      </c>
      <c r="B77" s="9">
        <f t="shared" si="7"/>
        <v>0</v>
      </c>
      <c r="C77" s="4"/>
      <c r="D77" s="4"/>
      <c r="E77" s="4"/>
      <c r="F77" s="4"/>
      <c r="G77" s="9">
        <f t="shared" si="8"/>
        <v>0</v>
      </c>
      <c r="H77" s="4"/>
      <c r="I77" s="9">
        <f t="shared" si="9"/>
        <v>0</v>
      </c>
      <c r="J77" s="4"/>
      <c r="K77" s="4"/>
    </row>
    <row r="78" spans="1:11" hidden="1">
      <c r="A78" s="22" t="s">
        <v>82</v>
      </c>
      <c r="B78" s="9">
        <f t="shared" si="7"/>
        <v>0</v>
      </c>
      <c r="C78" s="4"/>
      <c r="D78" s="4"/>
      <c r="E78" s="4"/>
      <c r="F78" s="4"/>
      <c r="G78" s="9">
        <f t="shared" si="8"/>
        <v>0</v>
      </c>
      <c r="H78" s="4"/>
      <c r="I78" s="9">
        <f t="shared" si="9"/>
        <v>0</v>
      </c>
      <c r="J78" s="4"/>
      <c r="K78" s="4"/>
    </row>
    <row r="79" spans="1:11" hidden="1">
      <c r="A79" s="22" t="s">
        <v>83</v>
      </c>
      <c r="B79" s="9">
        <f t="shared" si="7"/>
        <v>0</v>
      </c>
      <c r="C79" s="4"/>
      <c r="D79" s="4"/>
      <c r="E79" s="4"/>
      <c r="F79" s="4"/>
      <c r="G79" s="9">
        <f t="shared" si="8"/>
        <v>0</v>
      </c>
      <c r="H79" s="4"/>
      <c r="I79" s="9">
        <f t="shared" si="9"/>
        <v>0</v>
      </c>
      <c r="J79" s="4"/>
      <c r="K79" s="4"/>
    </row>
    <row r="80" spans="1:11" hidden="1">
      <c r="A80" s="22"/>
      <c r="B80" s="9"/>
      <c r="C80" s="4"/>
      <c r="D80" s="4"/>
      <c r="E80" s="4"/>
      <c r="F80" s="4"/>
      <c r="G80" s="9"/>
      <c r="H80" s="4"/>
      <c r="I80" s="9"/>
      <c r="J80" s="4"/>
      <c r="K80" s="4"/>
    </row>
    <row r="81" spans="1:11" hidden="1">
      <c r="A81" s="22" t="s">
        <v>84</v>
      </c>
      <c r="B81" s="9">
        <f t="shared" si="7"/>
        <v>0</v>
      </c>
      <c r="C81" s="4"/>
      <c r="D81" s="4"/>
      <c r="E81" s="4"/>
      <c r="F81" s="4"/>
      <c r="G81" s="9">
        <f t="shared" si="8"/>
        <v>0</v>
      </c>
      <c r="H81" s="4"/>
      <c r="I81" s="9">
        <f t="shared" si="9"/>
        <v>0</v>
      </c>
      <c r="J81" s="4"/>
      <c r="K81" s="4"/>
    </row>
    <row r="82" spans="1:11" hidden="1">
      <c r="A82" s="22" t="s">
        <v>85</v>
      </c>
      <c r="B82" s="9">
        <f t="shared" si="7"/>
        <v>0</v>
      </c>
      <c r="C82" s="4"/>
      <c r="D82" s="4"/>
      <c r="E82" s="4"/>
      <c r="F82" s="4"/>
      <c r="G82" s="9">
        <f t="shared" si="8"/>
        <v>0</v>
      </c>
      <c r="H82" s="4"/>
      <c r="I82" s="9">
        <f t="shared" si="9"/>
        <v>0</v>
      </c>
      <c r="J82" s="4"/>
      <c r="K82" s="4"/>
    </row>
    <row r="83" spans="1:11" hidden="1">
      <c r="A83" s="22" t="s">
        <v>86</v>
      </c>
      <c r="B83" s="9">
        <f t="shared" si="7"/>
        <v>0</v>
      </c>
      <c r="C83" s="4"/>
      <c r="D83" s="4"/>
      <c r="E83" s="4"/>
      <c r="F83" s="4"/>
      <c r="G83" s="9">
        <f t="shared" si="8"/>
        <v>0</v>
      </c>
      <c r="H83" s="4"/>
      <c r="I83" s="9">
        <f t="shared" si="9"/>
        <v>0</v>
      </c>
      <c r="J83" s="4"/>
      <c r="K83" s="4"/>
    </row>
    <row r="84" spans="1:11" hidden="1">
      <c r="A84" s="22" t="s">
        <v>62</v>
      </c>
      <c r="B84" s="9">
        <f t="shared" si="7"/>
        <v>0</v>
      </c>
      <c r="C84" s="4"/>
      <c r="D84" s="4"/>
      <c r="E84" s="4"/>
      <c r="F84" s="4"/>
      <c r="G84" s="9">
        <f t="shared" si="8"/>
        <v>0</v>
      </c>
      <c r="H84" s="4"/>
      <c r="I84" s="9">
        <f t="shared" si="9"/>
        <v>0</v>
      </c>
      <c r="J84" s="4"/>
      <c r="K84" s="4"/>
    </row>
    <row r="85" spans="1:11" hidden="1">
      <c r="A85" s="15" t="s">
        <v>87</v>
      </c>
      <c r="B85" s="9">
        <f t="shared" si="7"/>
        <v>866.74</v>
      </c>
      <c r="C85" s="9"/>
      <c r="D85" s="9"/>
      <c r="E85" s="9">
        <v>136.18</v>
      </c>
      <c r="F85" s="9"/>
      <c r="G85" s="9">
        <f t="shared" si="8"/>
        <v>136.18</v>
      </c>
      <c r="H85" s="9"/>
      <c r="I85" s="9">
        <f t="shared" si="9"/>
        <v>1002.9200000000001</v>
      </c>
      <c r="J85" s="9"/>
      <c r="K85" s="4"/>
    </row>
    <row r="86" spans="1:11" hidden="1">
      <c r="A86" s="14" t="s">
        <v>88</v>
      </c>
      <c r="B86" s="9">
        <f t="shared" si="7"/>
        <v>0</v>
      </c>
      <c r="C86" s="4"/>
      <c r="D86" s="4"/>
      <c r="E86" s="4"/>
      <c r="F86" s="4"/>
      <c r="G86" s="9">
        <f t="shared" si="8"/>
        <v>0</v>
      </c>
      <c r="H86" s="4"/>
      <c r="I86" s="9">
        <f t="shared" si="9"/>
        <v>0</v>
      </c>
      <c r="J86" s="4"/>
      <c r="K86" s="4"/>
    </row>
    <row r="87" spans="1:11" hidden="1">
      <c r="A87" s="14" t="s">
        <v>89</v>
      </c>
      <c r="B87" s="9">
        <f t="shared" si="7"/>
        <v>0</v>
      </c>
      <c r="C87" s="4"/>
      <c r="D87" s="4"/>
      <c r="E87" s="4"/>
      <c r="F87" s="4"/>
      <c r="G87" s="9">
        <f t="shared" si="8"/>
        <v>0</v>
      </c>
      <c r="H87" s="4"/>
      <c r="I87" s="9">
        <f t="shared" si="9"/>
        <v>0</v>
      </c>
      <c r="J87" s="4"/>
      <c r="K87" s="4"/>
    </row>
    <row r="88" spans="1:11" hidden="1">
      <c r="A88" s="22" t="s">
        <v>90</v>
      </c>
      <c r="B88" s="9">
        <f t="shared" si="7"/>
        <v>0</v>
      </c>
      <c r="C88" s="4"/>
      <c r="D88" s="4"/>
      <c r="E88" s="4"/>
      <c r="F88" s="4"/>
      <c r="G88" s="9">
        <f t="shared" si="8"/>
        <v>0</v>
      </c>
      <c r="H88" s="4"/>
      <c r="I88" s="9">
        <f t="shared" si="9"/>
        <v>0</v>
      </c>
      <c r="J88" s="4"/>
      <c r="K88" s="4"/>
    </row>
    <row r="89" spans="1:11" hidden="1">
      <c r="A89" s="22" t="s">
        <v>62</v>
      </c>
      <c r="B89" s="9">
        <f t="shared" si="7"/>
        <v>0</v>
      </c>
      <c r="C89" s="4"/>
      <c r="D89" s="4"/>
      <c r="E89" s="4"/>
      <c r="F89" s="4"/>
      <c r="G89" s="9">
        <f t="shared" si="8"/>
        <v>0</v>
      </c>
      <c r="H89" s="4"/>
      <c r="I89" s="9">
        <f t="shared" si="9"/>
        <v>0</v>
      </c>
      <c r="J89" s="4"/>
      <c r="K89" s="4"/>
    </row>
    <row r="90" spans="1:11" hidden="1">
      <c r="A90" s="23" t="s">
        <v>91</v>
      </c>
      <c r="B90" s="9">
        <f t="shared" si="7"/>
        <v>1.35</v>
      </c>
      <c r="C90" s="4"/>
      <c r="D90" s="4"/>
      <c r="E90" s="9">
        <v>0.15</v>
      </c>
      <c r="F90" s="4"/>
      <c r="G90" s="9">
        <f t="shared" si="8"/>
        <v>0.15</v>
      </c>
      <c r="H90" s="4"/>
      <c r="I90" s="9">
        <f t="shared" si="9"/>
        <v>1.5</v>
      </c>
      <c r="J90" s="4"/>
      <c r="K90" s="4"/>
    </row>
    <row r="91" spans="1:11" hidden="1">
      <c r="A91" s="23" t="s">
        <v>92</v>
      </c>
      <c r="B91" s="9">
        <f t="shared" si="7"/>
        <v>1.1600000000000001</v>
      </c>
      <c r="C91" s="4"/>
      <c r="D91" s="4"/>
      <c r="E91" s="9">
        <f>0.1-0.02</f>
        <v>0.08</v>
      </c>
      <c r="F91" s="4"/>
      <c r="G91" s="9">
        <f t="shared" si="8"/>
        <v>0.08</v>
      </c>
      <c r="H91" s="4"/>
      <c r="I91" s="9">
        <f t="shared" si="9"/>
        <v>1.2400000000000002</v>
      </c>
      <c r="J91" s="4"/>
      <c r="K91" s="4"/>
    </row>
    <row r="92" spans="1:11" hidden="1">
      <c r="A92" s="23" t="s">
        <v>93</v>
      </c>
      <c r="B92" s="9">
        <f t="shared" si="7"/>
        <v>15.739999999999998</v>
      </c>
      <c r="C92" s="4"/>
      <c r="D92" s="4"/>
      <c r="E92" s="9">
        <f>1.54+0.18-0.22</f>
        <v>1.5</v>
      </c>
      <c r="F92" s="4"/>
      <c r="G92" s="9">
        <f t="shared" si="8"/>
        <v>1.5</v>
      </c>
      <c r="H92" s="4"/>
      <c r="I92" s="9">
        <f t="shared" si="9"/>
        <v>17.239999999999998</v>
      </c>
      <c r="J92" s="4"/>
      <c r="K92" s="4"/>
    </row>
    <row r="93" spans="1:11" hidden="1">
      <c r="A93" s="23" t="s">
        <v>94</v>
      </c>
      <c r="B93" s="9">
        <f t="shared" si="7"/>
        <v>0</v>
      </c>
      <c r="C93" s="4"/>
      <c r="D93" s="4"/>
      <c r="E93" s="4"/>
      <c r="F93" s="4"/>
      <c r="G93" s="9">
        <f t="shared" si="8"/>
        <v>0</v>
      </c>
      <c r="H93" s="4"/>
      <c r="I93" s="9">
        <f t="shared" si="9"/>
        <v>0</v>
      </c>
      <c r="J93" s="4"/>
      <c r="K93" s="4"/>
    </row>
    <row r="94" spans="1:11" hidden="1">
      <c r="A94" s="23" t="s">
        <v>62</v>
      </c>
      <c r="B94" s="9">
        <f t="shared" si="7"/>
        <v>0</v>
      </c>
      <c r="C94" s="4"/>
      <c r="D94" s="4"/>
      <c r="E94" s="4"/>
      <c r="F94" s="4"/>
      <c r="G94" s="9">
        <f t="shared" si="8"/>
        <v>0</v>
      </c>
      <c r="H94" s="4"/>
      <c r="I94" s="9">
        <f t="shared" si="9"/>
        <v>0</v>
      </c>
      <c r="J94" s="4"/>
      <c r="K94" s="4"/>
    </row>
    <row r="95" spans="1:11" hidden="1">
      <c r="A95" s="23" t="s">
        <v>95</v>
      </c>
      <c r="B95" s="9">
        <f t="shared" si="7"/>
        <v>0</v>
      </c>
      <c r="C95" s="4"/>
      <c r="D95" s="4"/>
      <c r="E95" s="4"/>
      <c r="F95" s="4"/>
      <c r="G95" s="9">
        <f t="shared" si="8"/>
        <v>0</v>
      </c>
      <c r="H95" s="4"/>
      <c r="I95" s="9">
        <f t="shared" si="9"/>
        <v>0</v>
      </c>
      <c r="J95" s="4"/>
      <c r="K95" s="4"/>
    </row>
    <row r="96" spans="1:11" ht="19.5" hidden="1" customHeight="1">
      <c r="A96" s="122" t="s">
        <v>105</v>
      </c>
      <c r="B96" s="123">
        <f t="shared" ref="B96:J96" si="10">+B71+B72+B73+B74+B75+B76+B85+B90+B91+B92+B93+B94+B95</f>
        <v>2334.4699999999998</v>
      </c>
      <c r="C96" s="123">
        <f t="shared" si="10"/>
        <v>0</v>
      </c>
      <c r="D96" s="123">
        <f t="shared" si="10"/>
        <v>0</v>
      </c>
      <c r="E96" s="123">
        <f t="shared" si="10"/>
        <v>285.08999999999997</v>
      </c>
      <c r="F96" s="123">
        <f t="shared" si="10"/>
        <v>4.8499999999999996</v>
      </c>
      <c r="G96" s="123">
        <f t="shared" si="10"/>
        <v>289.94</v>
      </c>
      <c r="H96" s="123">
        <f t="shared" si="10"/>
        <v>0</v>
      </c>
      <c r="I96" s="123">
        <f t="shared" si="10"/>
        <v>2624.41</v>
      </c>
      <c r="J96" s="123">
        <f t="shared" si="10"/>
        <v>0</v>
      </c>
      <c r="K96" s="124"/>
    </row>
    <row r="97" spans="1:11" hidden="1">
      <c r="E97" s="16"/>
    </row>
    <row r="98" spans="1:11" hidden="1"/>
    <row r="99" spans="1:11" hidden="1"/>
    <row r="100" spans="1:11" hidden="1">
      <c r="A100" s="6" t="s">
        <v>20</v>
      </c>
      <c r="H100" t="s">
        <v>365</v>
      </c>
    </row>
    <row r="101" spans="1:11" hidden="1">
      <c r="A101" s="285" t="s">
        <v>74</v>
      </c>
      <c r="B101" s="283" t="s">
        <v>106</v>
      </c>
      <c r="C101" s="283" t="s">
        <v>107</v>
      </c>
      <c r="D101" s="286" t="s">
        <v>98</v>
      </c>
      <c r="E101" s="286"/>
      <c r="F101" s="286"/>
      <c r="G101" s="286"/>
      <c r="H101" s="283" t="s">
        <v>108</v>
      </c>
      <c r="I101" s="283" t="s">
        <v>109</v>
      </c>
      <c r="J101" s="283" t="s">
        <v>110</v>
      </c>
      <c r="K101" s="283" t="s">
        <v>101</v>
      </c>
    </row>
    <row r="102" spans="1:11" ht="48" hidden="1">
      <c r="A102" s="285"/>
      <c r="B102" s="284"/>
      <c r="C102" s="284"/>
      <c r="D102" s="109" t="s">
        <v>111</v>
      </c>
      <c r="E102" s="108" t="s">
        <v>112</v>
      </c>
      <c r="F102" s="108" t="s">
        <v>113</v>
      </c>
      <c r="G102" s="108" t="s">
        <v>96</v>
      </c>
      <c r="H102" s="284"/>
      <c r="I102" s="284"/>
      <c r="J102" s="284"/>
      <c r="K102" s="284"/>
    </row>
    <row r="103" spans="1:11" hidden="1">
      <c r="A103" s="27" t="s">
        <v>75</v>
      </c>
      <c r="B103" s="9">
        <f t="shared" ref="B103:B127" si="11">+I71</f>
        <v>0</v>
      </c>
      <c r="C103" s="4"/>
      <c r="D103" s="4"/>
      <c r="E103" s="4"/>
      <c r="F103" s="4"/>
      <c r="G103" s="9">
        <f>+E103+F103</f>
        <v>0</v>
      </c>
      <c r="H103" s="4"/>
      <c r="I103" s="9">
        <f>+B103+C103+G103-H103</f>
        <v>0</v>
      </c>
      <c r="J103" s="4"/>
      <c r="K103" s="4"/>
    </row>
    <row r="104" spans="1:11" hidden="1">
      <c r="A104" s="21" t="s">
        <v>76</v>
      </c>
      <c r="B104" s="9">
        <f t="shared" si="11"/>
        <v>28.01</v>
      </c>
      <c r="C104" s="4"/>
      <c r="D104" s="4"/>
      <c r="E104" s="4">
        <v>2.96</v>
      </c>
      <c r="F104" s="4"/>
      <c r="G104" s="9">
        <f>+E104+F104</f>
        <v>2.96</v>
      </c>
      <c r="H104" s="4"/>
      <c r="I104" s="9">
        <f>+B104+C104+G104-H104</f>
        <v>30.970000000000002</v>
      </c>
      <c r="J104" s="4"/>
      <c r="K104" s="4"/>
    </row>
    <row r="105" spans="1:11" hidden="1">
      <c r="A105" s="18" t="s">
        <v>77</v>
      </c>
      <c r="B105" s="9">
        <f t="shared" si="11"/>
        <v>0</v>
      </c>
      <c r="C105" s="4"/>
      <c r="D105" s="4"/>
      <c r="E105" s="4"/>
      <c r="F105" s="4"/>
      <c r="G105" s="9">
        <f t="shared" ref="G105:G127" si="12">+E105+F105</f>
        <v>0</v>
      </c>
      <c r="H105" s="4"/>
      <c r="I105" s="9">
        <f t="shared" ref="I105:I127" si="13">+B105+C105+G105-H105</f>
        <v>0</v>
      </c>
      <c r="J105" s="4"/>
      <c r="K105" s="4"/>
    </row>
    <row r="106" spans="1:11" hidden="1">
      <c r="A106" s="18" t="s">
        <v>78</v>
      </c>
      <c r="B106" s="9">
        <f t="shared" si="11"/>
        <v>0</v>
      </c>
      <c r="C106" s="4"/>
      <c r="D106" s="4"/>
      <c r="E106" s="4"/>
      <c r="F106" s="4"/>
      <c r="G106" s="9">
        <f t="shared" si="12"/>
        <v>0</v>
      </c>
      <c r="H106" s="4"/>
      <c r="I106" s="9">
        <f t="shared" si="13"/>
        <v>0</v>
      </c>
      <c r="J106" s="4"/>
      <c r="K106" s="4"/>
    </row>
    <row r="107" spans="1:11" hidden="1">
      <c r="A107" s="18" t="s">
        <v>79</v>
      </c>
      <c r="B107" s="9">
        <f t="shared" si="11"/>
        <v>0.97</v>
      </c>
      <c r="C107" s="4"/>
      <c r="D107" s="4"/>
      <c r="E107" s="9">
        <v>0.4</v>
      </c>
      <c r="F107" s="4"/>
      <c r="G107" s="9">
        <f t="shared" si="12"/>
        <v>0.4</v>
      </c>
      <c r="H107" s="4"/>
      <c r="I107" s="9">
        <f t="shared" si="13"/>
        <v>1.37</v>
      </c>
      <c r="J107" s="4"/>
      <c r="K107" s="4"/>
    </row>
    <row r="108" spans="1:11" hidden="1">
      <c r="A108" s="15" t="s">
        <v>80</v>
      </c>
      <c r="B108" s="9">
        <f t="shared" si="11"/>
        <v>1572.53</v>
      </c>
      <c r="C108" s="9"/>
      <c r="D108" s="9"/>
      <c r="E108" s="9">
        <f>212.55-0.11</f>
        <v>212.44</v>
      </c>
      <c r="F108" s="9">
        <v>-0.92</v>
      </c>
      <c r="G108" s="9">
        <f t="shared" si="12"/>
        <v>211.52</v>
      </c>
      <c r="H108" s="9"/>
      <c r="I108" s="9">
        <f t="shared" si="13"/>
        <v>1784.05</v>
      </c>
      <c r="J108" s="9"/>
      <c r="K108" s="9"/>
    </row>
    <row r="109" spans="1:11" hidden="1">
      <c r="A109" s="22" t="s">
        <v>81</v>
      </c>
      <c r="B109" s="9">
        <f t="shared" si="11"/>
        <v>0</v>
      </c>
      <c r="C109" s="4"/>
      <c r="D109" s="4"/>
      <c r="E109" s="4"/>
      <c r="F109" s="4"/>
      <c r="G109" s="9">
        <f t="shared" si="12"/>
        <v>0</v>
      </c>
      <c r="H109" s="4"/>
      <c r="I109" s="9">
        <f t="shared" si="13"/>
        <v>0</v>
      </c>
      <c r="J109" s="4"/>
      <c r="K109" s="4"/>
    </row>
    <row r="110" spans="1:11" hidden="1">
      <c r="A110" s="22" t="s">
        <v>82</v>
      </c>
      <c r="B110" s="9">
        <f t="shared" si="11"/>
        <v>0</v>
      </c>
      <c r="C110" s="4"/>
      <c r="D110" s="4"/>
      <c r="E110" s="4"/>
      <c r="F110" s="4"/>
      <c r="G110" s="9">
        <f t="shared" si="12"/>
        <v>0</v>
      </c>
      <c r="H110" s="4"/>
      <c r="I110" s="9">
        <f t="shared" si="13"/>
        <v>0</v>
      </c>
      <c r="J110" s="4"/>
      <c r="K110" s="4"/>
    </row>
    <row r="111" spans="1:11" hidden="1">
      <c r="A111" s="22" t="s">
        <v>83</v>
      </c>
      <c r="B111" s="9">
        <f t="shared" si="11"/>
        <v>0</v>
      </c>
      <c r="C111" s="4"/>
      <c r="D111" s="4"/>
      <c r="E111" s="4"/>
      <c r="F111" s="4"/>
      <c r="G111" s="9">
        <f t="shared" si="12"/>
        <v>0</v>
      </c>
      <c r="H111" s="4"/>
      <c r="I111" s="9">
        <f t="shared" si="13"/>
        <v>0</v>
      </c>
      <c r="J111" s="4"/>
      <c r="K111" s="4"/>
    </row>
    <row r="112" spans="1:11" hidden="1">
      <c r="A112" s="22"/>
      <c r="B112" s="9"/>
      <c r="C112" s="4"/>
      <c r="D112" s="4"/>
      <c r="E112" s="4"/>
      <c r="F112" s="4"/>
      <c r="G112" s="9"/>
      <c r="H112" s="4"/>
      <c r="I112" s="9"/>
      <c r="J112" s="4"/>
      <c r="K112" s="4"/>
    </row>
    <row r="113" spans="1:11" hidden="1">
      <c r="A113" s="22" t="s">
        <v>84</v>
      </c>
      <c r="B113" s="9">
        <f t="shared" si="11"/>
        <v>0</v>
      </c>
      <c r="C113" s="4"/>
      <c r="D113" s="4"/>
      <c r="E113" s="4"/>
      <c r="F113" s="4"/>
      <c r="G113" s="9">
        <f t="shared" si="12"/>
        <v>0</v>
      </c>
      <c r="H113" s="4"/>
      <c r="I113" s="9">
        <f t="shared" si="13"/>
        <v>0</v>
      </c>
      <c r="J113" s="4"/>
      <c r="K113" s="4"/>
    </row>
    <row r="114" spans="1:11" hidden="1">
      <c r="A114" s="22" t="s">
        <v>85</v>
      </c>
      <c r="B114" s="9">
        <f t="shared" si="11"/>
        <v>0</v>
      </c>
      <c r="C114" s="4"/>
      <c r="D114" s="4"/>
      <c r="E114" s="4"/>
      <c r="F114" s="4"/>
      <c r="G114" s="9">
        <f t="shared" si="12"/>
        <v>0</v>
      </c>
      <c r="H114" s="4"/>
      <c r="I114" s="9">
        <f t="shared" si="13"/>
        <v>0</v>
      </c>
      <c r="J114" s="4"/>
      <c r="K114" s="4"/>
    </row>
    <row r="115" spans="1:11" hidden="1">
      <c r="A115" s="22" t="s">
        <v>86</v>
      </c>
      <c r="B115" s="9">
        <f t="shared" si="11"/>
        <v>0</v>
      </c>
      <c r="C115" s="4"/>
      <c r="D115" s="4"/>
      <c r="E115" s="4"/>
      <c r="F115" s="4"/>
      <c r="G115" s="9">
        <f t="shared" si="12"/>
        <v>0</v>
      </c>
      <c r="H115" s="4"/>
      <c r="I115" s="9">
        <f t="shared" si="13"/>
        <v>0</v>
      </c>
      <c r="J115" s="4"/>
      <c r="K115" s="4"/>
    </row>
    <row r="116" spans="1:11" hidden="1">
      <c r="A116" s="22" t="s">
        <v>62</v>
      </c>
      <c r="B116" s="9">
        <f t="shared" si="11"/>
        <v>0</v>
      </c>
      <c r="C116" s="4"/>
      <c r="D116" s="4"/>
      <c r="E116" s="4"/>
      <c r="F116" s="4"/>
      <c r="G116" s="9">
        <f t="shared" si="12"/>
        <v>0</v>
      </c>
      <c r="H116" s="4"/>
      <c r="I116" s="9">
        <f t="shared" si="13"/>
        <v>0</v>
      </c>
      <c r="J116" s="4"/>
      <c r="K116" s="4"/>
    </row>
    <row r="117" spans="1:11" hidden="1">
      <c r="A117" s="15" t="s">
        <v>87</v>
      </c>
      <c r="B117" s="9">
        <f t="shared" si="11"/>
        <v>1002.9200000000001</v>
      </c>
      <c r="C117" s="9"/>
      <c r="D117" s="9"/>
      <c r="E117" s="9">
        <f>1215.62-B117</f>
        <v>212.69999999999982</v>
      </c>
      <c r="F117" s="9"/>
      <c r="G117" s="9">
        <f t="shared" si="12"/>
        <v>212.69999999999982</v>
      </c>
      <c r="H117" s="9"/>
      <c r="I117" s="9">
        <f t="shared" si="13"/>
        <v>1215.6199999999999</v>
      </c>
      <c r="J117" s="9"/>
      <c r="K117" s="4"/>
    </row>
    <row r="118" spans="1:11" hidden="1">
      <c r="A118" s="14" t="s">
        <v>88</v>
      </c>
      <c r="B118" s="9">
        <f t="shared" si="11"/>
        <v>0</v>
      </c>
      <c r="C118" s="4"/>
      <c r="D118" s="4"/>
      <c r="E118" s="4"/>
      <c r="F118" s="4"/>
      <c r="G118" s="9">
        <f t="shared" si="12"/>
        <v>0</v>
      </c>
      <c r="H118" s="4"/>
      <c r="I118" s="9">
        <f t="shared" si="13"/>
        <v>0</v>
      </c>
      <c r="J118" s="4"/>
      <c r="K118" s="4"/>
    </row>
    <row r="119" spans="1:11" hidden="1">
      <c r="A119" s="14" t="s">
        <v>89</v>
      </c>
      <c r="B119" s="9">
        <f t="shared" si="11"/>
        <v>0</v>
      </c>
      <c r="C119" s="4"/>
      <c r="D119" s="4"/>
      <c r="E119" s="4"/>
      <c r="F119" s="4"/>
      <c r="G119" s="9">
        <f t="shared" si="12"/>
        <v>0</v>
      </c>
      <c r="H119" s="4"/>
      <c r="I119" s="9">
        <f t="shared" si="13"/>
        <v>0</v>
      </c>
      <c r="J119" s="4"/>
      <c r="K119" s="4"/>
    </row>
    <row r="120" spans="1:11" hidden="1">
      <c r="A120" s="22" t="s">
        <v>90</v>
      </c>
      <c r="B120" s="9">
        <f t="shared" si="11"/>
        <v>0</v>
      </c>
      <c r="C120" s="4"/>
      <c r="D120" s="4"/>
      <c r="E120" s="4"/>
      <c r="F120" s="4"/>
      <c r="G120" s="9">
        <f t="shared" si="12"/>
        <v>0</v>
      </c>
      <c r="H120" s="4"/>
      <c r="I120" s="9">
        <f t="shared" si="13"/>
        <v>0</v>
      </c>
      <c r="J120" s="4"/>
      <c r="K120" s="4"/>
    </row>
    <row r="121" spans="1:11" hidden="1">
      <c r="A121" s="22" t="s">
        <v>62</v>
      </c>
      <c r="B121" s="9">
        <f t="shared" si="11"/>
        <v>0</v>
      </c>
      <c r="C121" s="4"/>
      <c r="D121" s="4"/>
      <c r="E121" s="4"/>
      <c r="F121" s="4"/>
      <c r="G121" s="9">
        <f t="shared" si="12"/>
        <v>0</v>
      </c>
      <c r="H121" s="4"/>
      <c r="I121" s="9">
        <f t="shared" si="13"/>
        <v>0</v>
      </c>
      <c r="J121" s="4"/>
      <c r="K121" s="4"/>
    </row>
    <row r="122" spans="1:11" hidden="1">
      <c r="A122" s="23" t="s">
        <v>91</v>
      </c>
      <c r="B122" s="9">
        <f t="shared" si="11"/>
        <v>1.5</v>
      </c>
      <c r="C122" s="4"/>
      <c r="D122" s="4"/>
      <c r="E122" s="4">
        <v>0.37</v>
      </c>
      <c r="F122" s="4"/>
      <c r="G122" s="9">
        <f t="shared" si="12"/>
        <v>0.37</v>
      </c>
      <c r="H122" s="4"/>
      <c r="I122" s="9">
        <f t="shared" si="13"/>
        <v>1.87</v>
      </c>
      <c r="J122" s="4"/>
      <c r="K122" s="4"/>
    </row>
    <row r="123" spans="1:11" hidden="1">
      <c r="A123" s="23" t="s">
        <v>92</v>
      </c>
      <c r="B123" s="9">
        <f t="shared" si="11"/>
        <v>1.2400000000000002</v>
      </c>
      <c r="C123" s="4"/>
      <c r="D123" s="4"/>
      <c r="E123" s="9">
        <f>0.1-0.02</f>
        <v>0.08</v>
      </c>
      <c r="F123" s="4"/>
      <c r="G123" s="9">
        <f t="shared" si="12"/>
        <v>0.08</v>
      </c>
      <c r="H123" s="4"/>
      <c r="I123" s="9">
        <f t="shared" si="13"/>
        <v>1.3200000000000003</v>
      </c>
      <c r="J123" s="4"/>
      <c r="K123" s="4"/>
    </row>
    <row r="124" spans="1:11" hidden="1">
      <c r="A124" s="23" t="s">
        <v>93</v>
      </c>
      <c r="B124" s="9">
        <f t="shared" si="11"/>
        <v>17.239999999999998</v>
      </c>
      <c r="C124" s="4"/>
      <c r="D124" s="4"/>
      <c r="E124" s="9">
        <f>3.12-0.22</f>
        <v>2.9</v>
      </c>
      <c r="F124" s="4"/>
      <c r="G124" s="9">
        <f t="shared" si="12"/>
        <v>2.9</v>
      </c>
      <c r="H124" s="4"/>
      <c r="I124" s="9">
        <f t="shared" si="13"/>
        <v>20.139999999999997</v>
      </c>
      <c r="J124" s="4"/>
      <c r="K124" s="4"/>
    </row>
    <row r="125" spans="1:11" hidden="1">
      <c r="A125" s="23" t="s">
        <v>94</v>
      </c>
      <c r="B125" s="9">
        <f t="shared" si="11"/>
        <v>0</v>
      </c>
      <c r="C125" s="4"/>
      <c r="D125" s="4"/>
      <c r="E125" s="4"/>
      <c r="F125" s="4"/>
      <c r="G125" s="9">
        <f t="shared" si="12"/>
        <v>0</v>
      </c>
      <c r="H125" s="4"/>
      <c r="I125" s="9">
        <f t="shared" si="13"/>
        <v>0</v>
      </c>
      <c r="J125" s="4"/>
      <c r="K125" s="4"/>
    </row>
    <row r="126" spans="1:11" hidden="1">
      <c r="A126" s="23" t="s">
        <v>62</v>
      </c>
      <c r="B126" s="9">
        <f t="shared" si="11"/>
        <v>0</v>
      </c>
      <c r="C126" s="4"/>
      <c r="D126" s="4"/>
      <c r="E126" s="4"/>
      <c r="F126" s="4"/>
      <c r="G126" s="9">
        <f t="shared" si="12"/>
        <v>0</v>
      </c>
      <c r="H126" s="4"/>
      <c r="I126" s="9">
        <f t="shared" si="13"/>
        <v>0</v>
      </c>
      <c r="J126" s="4"/>
      <c r="K126" s="4"/>
    </row>
    <row r="127" spans="1:11" hidden="1">
      <c r="A127" s="23" t="s">
        <v>95</v>
      </c>
      <c r="B127" s="9">
        <f t="shared" si="11"/>
        <v>0</v>
      </c>
      <c r="C127" s="4"/>
      <c r="D127" s="4"/>
      <c r="E127" s="4"/>
      <c r="F127" s="4"/>
      <c r="G127" s="9">
        <f t="shared" si="12"/>
        <v>0</v>
      </c>
      <c r="H127" s="4"/>
      <c r="I127" s="9">
        <f t="shared" si="13"/>
        <v>0</v>
      </c>
      <c r="J127" s="4"/>
      <c r="K127" s="4"/>
    </row>
    <row r="128" spans="1:11" ht="19.5" hidden="1" customHeight="1">
      <c r="A128" s="122" t="s">
        <v>105</v>
      </c>
      <c r="B128" s="123">
        <f t="shared" ref="B128:J128" si="14">+B103+B104+B105+B106+B107+B108+B117+B122+B123+B124+B125+B126+B127</f>
        <v>2624.41</v>
      </c>
      <c r="C128" s="123">
        <f t="shared" si="14"/>
        <v>0</v>
      </c>
      <c r="D128" s="123">
        <f t="shared" si="14"/>
        <v>0</v>
      </c>
      <c r="E128" s="123">
        <f t="shared" si="14"/>
        <v>431.8499999999998</v>
      </c>
      <c r="F128" s="123">
        <f t="shared" si="14"/>
        <v>-0.92</v>
      </c>
      <c r="G128" s="123">
        <f t="shared" si="14"/>
        <v>430.92999999999978</v>
      </c>
      <c r="H128" s="123">
        <f t="shared" si="14"/>
        <v>0</v>
      </c>
      <c r="I128" s="123">
        <f t="shared" si="14"/>
        <v>3055.3399999999997</v>
      </c>
      <c r="J128" s="123">
        <f t="shared" si="14"/>
        <v>0</v>
      </c>
      <c r="K128" s="124"/>
    </row>
    <row r="129" spans="1:11" hidden="1">
      <c r="I129">
        <v>3055.88</v>
      </c>
    </row>
    <row r="130" spans="1:11" hidden="1">
      <c r="I130" s="16">
        <f>+I128-I129</f>
        <v>-0.54000000000041837</v>
      </c>
    </row>
    <row r="131" spans="1:11" hidden="1"/>
    <row r="132" spans="1:11" hidden="1">
      <c r="A132" s="6" t="s">
        <v>21</v>
      </c>
      <c r="H132" t="s">
        <v>365</v>
      </c>
    </row>
    <row r="133" spans="1:11" hidden="1">
      <c r="A133" s="285" t="s">
        <v>74</v>
      </c>
      <c r="B133" s="283" t="s">
        <v>106</v>
      </c>
      <c r="C133" s="283" t="s">
        <v>107</v>
      </c>
      <c r="D133" s="286" t="s">
        <v>98</v>
      </c>
      <c r="E133" s="286"/>
      <c r="F133" s="286"/>
      <c r="G133" s="286"/>
      <c r="H133" s="283" t="s">
        <v>108</v>
      </c>
      <c r="I133" s="283" t="s">
        <v>109</v>
      </c>
      <c r="J133" s="283" t="s">
        <v>110</v>
      </c>
      <c r="K133" s="283" t="s">
        <v>101</v>
      </c>
    </row>
    <row r="134" spans="1:11" ht="48" hidden="1">
      <c r="A134" s="285"/>
      <c r="B134" s="284"/>
      <c r="C134" s="284"/>
      <c r="D134" s="109" t="s">
        <v>111</v>
      </c>
      <c r="E134" s="108" t="s">
        <v>112</v>
      </c>
      <c r="F134" s="108" t="s">
        <v>113</v>
      </c>
      <c r="G134" s="108" t="s">
        <v>96</v>
      </c>
      <c r="H134" s="284"/>
      <c r="I134" s="284"/>
      <c r="J134" s="284"/>
      <c r="K134" s="284"/>
    </row>
    <row r="135" spans="1:11" hidden="1">
      <c r="A135" s="27" t="s">
        <v>75</v>
      </c>
      <c r="B135" s="9">
        <f t="shared" ref="B135:B159" si="15">+I103</f>
        <v>0</v>
      </c>
      <c r="C135" s="4"/>
      <c r="D135" s="4"/>
      <c r="E135" s="4"/>
      <c r="F135" s="4"/>
      <c r="G135" s="9">
        <f>+E135+F135</f>
        <v>0</v>
      </c>
      <c r="H135" s="4"/>
      <c r="I135" s="9">
        <f>+B135+C135+G135-H135</f>
        <v>0</v>
      </c>
      <c r="J135" s="4"/>
      <c r="K135" s="4"/>
    </row>
    <row r="136" spans="1:11" hidden="1">
      <c r="A136" s="21" t="s">
        <v>76</v>
      </c>
      <c r="B136" s="9">
        <f t="shared" si="15"/>
        <v>30.970000000000002</v>
      </c>
      <c r="C136" s="4"/>
      <c r="D136" s="4"/>
      <c r="E136" s="4">
        <v>3.74</v>
      </c>
      <c r="F136" s="4"/>
      <c r="G136" s="9">
        <f>+E136+F136</f>
        <v>3.74</v>
      </c>
      <c r="H136" s="4"/>
      <c r="I136" s="9">
        <f>+B136+C136+G136-H136</f>
        <v>34.71</v>
      </c>
      <c r="J136" s="4"/>
      <c r="K136" s="4"/>
    </row>
    <row r="137" spans="1:11" hidden="1">
      <c r="A137" s="18" t="s">
        <v>77</v>
      </c>
      <c r="B137" s="9">
        <f t="shared" si="15"/>
        <v>0</v>
      </c>
      <c r="C137" s="4"/>
      <c r="D137" s="4"/>
      <c r="E137" s="4"/>
      <c r="F137" s="4"/>
      <c r="G137" s="9">
        <f t="shared" ref="G137:G159" si="16">+E137+F137</f>
        <v>0</v>
      </c>
      <c r="H137" s="4"/>
      <c r="I137" s="9">
        <f t="shared" ref="I137:I159" si="17">+B137+C137+G137-H137</f>
        <v>0</v>
      </c>
      <c r="J137" s="4"/>
      <c r="K137" s="4"/>
    </row>
    <row r="138" spans="1:11" hidden="1">
      <c r="A138" s="18" t="s">
        <v>78</v>
      </c>
      <c r="B138" s="9">
        <f t="shared" si="15"/>
        <v>0</v>
      </c>
      <c r="C138" s="4"/>
      <c r="D138" s="4"/>
      <c r="E138" s="4"/>
      <c r="F138" s="4"/>
      <c r="G138" s="9">
        <f t="shared" si="16"/>
        <v>0</v>
      </c>
      <c r="H138" s="4"/>
      <c r="I138" s="9">
        <f t="shared" si="17"/>
        <v>0</v>
      </c>
      <c r="J138" s="4"/>
      <c r="K138" s="4"/>
    </row>
    <row r="139" spans="1:11" hidden="1">
      <c r="A139" s="18" t="s">
        <v>79</v>
      </c>
      <c r="B139" s="9">
        <f t="shared" si="15"/>
        <v>1.37</v>
      </c>
      <c r="C139" s="4"/>
      <c r="D139" s="4"/>
      <c r="E139" s="4">
        <v>0.76</v>
      </c>
      <c r="F139" s="4"/>
      <c r="G139" s="9">
        <f t="shared" si="16"/>
        <v>0.76</v>
      </c>
      <c r="H139" s="4"/>
      <c r="I139" s="9">
        <f t="shared" si="17"/>
        <v>2.13</v>
      </c>
      <c r="J139" s="4"/>
      <c r="K139" s="4"/>
    </row>
    <row r="140" spans="1:11" hidden="1">
      <c r="A140" s="15" t="s">
        <v>80</v>
      </c>
      <c r="B140" s="9">
        <f t="shared" si="15"/>
        <v>1784.05</v>
      </c>
      <c r="C140" s="9"/>
      <c r="D140" s="9"/>
      <c r="E140" s="9">
        <f>287.83-3.76</f>
        <v>284.07</v>
      </c>
      <c r="F140" s="9"/>
      <c r="G140" s="9">
        <f t="shared" si="16"/>
        <v>284.07</v>
      </c>
      <c r="H140" s="9"/>
      <c r="I140" s="9">
        <f t="shared" si="17"/>
        <v>2068.12</v>
      </c>
      <c r="J140" s="9"/>
      <c r="K140" s="9"/>
    </row>
    <row r="141" spans="1:11" hidden="1">
      <c r="A141" s="22" t="s">
        <v>81</v>
      </c>
      <c r="B141" s="9">
        <f t="shared" si="15"/>
        <v>0</v>
      </c>
      <c r="C141" s="4"/>
      <c r="D141" s="4"/>
      <c r="E141" s="4"/>
      <c r="F141" s="4"/>
      <c r="G141" s="9">
        <f t="shared" si="16"/>
        <v>0</v>
      </c>
      <c r="H141" s="4"/>
      <c r="I141" s="9">
        <f t="shared" si="17"/>
        <v>0</v>
      </c>
      <c r="J141" s="4"/>
      <c r="K141" s="4"/>
    </row>
    <row r="142" spans="1:11" hidden="1">
      <c r="A142" s="22" t="s">
        <v>82</v>
      </c>
      <c r="B142" s="9">
        <f t="shared" si="15"/>
        <v>0</v>
      </c>
      <c r="C142" s="4"/>
      <c r="D142" s="4"/>
      <c r="E142" s="4"/>
      <c r="F142" s="4"/>
      <c r="G142" s="9">
        <f t="shared" si="16"/>
        <v>0</v>
      </c>
      <c r="H142" s="4"/>
      <c r="I142" s="9">
        <f t="shared" si="17"/>
        <v>0</v>
      </c>
      <c r="J142" s="4"/>
      <c r="K142" s="4"/>
    </row>
    <row r="143" spans="1:11" hidden="1">
      <c r="A143" s="22" t="s">
        <v>83</v>
      </c>
      <c r="B143" s="9">
        <f t="shared" si="15"/>
        <v>0</v>
      </c>
      <c r="C143" s="4"/>
      <c r="D143" s="4"/>
      <c r="E143" s="4"/>
      <c r="F143" s="4"/>
      <c r="G143" s="9">
        <f t="shared" si="16"/>
        <v>0</v>
      </c>
      <c r="H143" s="4"/>
      <c r="I143" s="9">
        <f t="shared" si="17"/>
        <v>0</v>
      </c>
      <c r="J143" s="4"/>
      <c r="K143" s="4"/>
    </row>
    <row r="144" spans="1:11" hidden="1">
      <c r="A144" s="22"/>
      <c r="B144" s="9"/>
      <c r="C144" s="4"/>
      <c r="D144" s="4"/>
      <c r="E144" s="4"/>
      <c r="F144" s="4"/>
      <c r="G144" s="9"/>
      <c r="H144" s="4"/>
      <c r="I144" s="9"/>
      <c r="J144" s="4"/>
      <c r="K144" s="4"/>
    </row>
    <row r="145" spans="1:11" hidden="1">
      <c r="A145" s="22" t="s">
        <v>84</v>
      </c>
      <c r="B145" s="9">
        <f t="shared" si="15"/>
        <v>0</v>
      </c>
      <c r="C145" s="4"/>
      <c r="D145" s="4"/>
      <c r="E145" s="4"/>
      <c r="F145" s="4"/>
      <c r="G145" s="9">
        <f t="shared" si="16"/>
        <v>0</v>
      </c>
      <c r="H145" s="4"/>
      <c r="I145" s="9">
        <f t="shared" si="17"/>
        <v>0</v>
      </c>
      <c r="J145" s="4"/>
      <c r="K145" s="4"/>
    </row>
    <row r="146" spans="1:11" hidden="1">
      <c r="A146" s="22" t="s">
        <v>85</v>
      </c>
      <c r="B146" s="9">
        <f t="shared" si="15"/>
        <v>0</v>
      </c>
      <c r="C146" s="4"/>
      <c r="D146" s="4"/>
      <c r="E146" s="4"/>
      <c r="F146" s="4"/>
      <c r="G146" s="9">
        <f t="shared" si="16"/>
        <v>0</v>
      </c>
      <c r="H146" s="4"/>
      <c r="I146" s="9">
        <f t="shared" si="17"/>
        <v>0</v>
      </c>
      <c r="J146" s="4"/>
      <c r="K146" s="4"/>
    </row>
    <row r="147" spans="1:11" hidden="1">
      <c r="A147" s="22" t="s">
        <v>86</v>
      </c>
      <c r="B147" s="9">
        <f t="shared" si="15"/>
        <v>0</v>
      </c>
      <c r="C147" s="4"/>
      <c r="D147" s="4"/>
      <c r="E147" s="4"/>
      <c r="F147" s="4"/>
      <c r="G147" s="9">
        <f t="shared" si="16"/>
        <v>0</v>
      </c>
      <c r="H147" s="4"/>
      <c r="I147" s="9">
        <f t="shared" si="17"/>
        <v>0</v>
      </c>
      <c r="J147" s="4"/>
      <c r="K147" s="4"/>
    </row>
    <row r="148" spans="1:11" hidden="1">
      <c r="A148" s="22" t="s">
        <v>62</v>
      </c>
      <c r="B148" s="9">
        <f t="shared" si="15"/>
        <v>0</v>
      </c>
      <c r="C148" s="4"/>
      <c r="D148" s="4"/>
      <c r="E148" s="4"/>
      <c r="F148" s="4"/>
      <c r="G148" s="9">
        <f t="shared" si="16"/>
        <v>0</v>
      </c>
      <c r="H148" s="4"/>
      <c r="I148" s="9">
        <f t="shared" si="17"/>
        <v>0</v>
      </c>
      <c r="J148" s="4"/>
      <c r="K148" s="4"/>
    </row>
    <row r="149" spans="1:11" hidden="1">
      <c r="A149" s="15" t="s">
        <v>87</v>
      </c>
      <c r="B149" s="9">
        <f t="shared" si="15"/>
        <v>1215.6199999999999</v>
      </c>
      <c r="C149" s="9"/>
      <c r="D149" s="9"/>
      <c r="E149" s="9">
        <v>290.18</v>
      </c>
      <c r="F149" s="9"/>
      <c r="G149" s="9">
        <f t="shared" si="16"/>
        <v>290.18</v>
      </c>
      <c r="H149" s="9"/>
      <c r="I149" s="9">
        <f t="shared" si="17"/>
        <v>1505.8</v>
      </c>
      <c r="J149" s="9"/>
      <c r="K149" s="4"/>
    </row>
    <row r="150" spans="1:11" hidden="1">
      <c r="A150" s="14" t="s">
        <v>88</v>
      </c>
      <c r="B150" s="9">
        <f t="shared" si="15"/>
        <v>0</v>
      </c>
      <c r="C150" s="4"/>
      <c r="D150" s="4"/>
      <c r="E150" s="4"/>
      <c r="F150" s="4"/>
      <c r="G150" s="9">
        <f t="shared" si="16"/>
        <v>0</v>
      </c>
      <c r="H150" s="4"/>
      <c r="I150" s="9">
        <f t="shared" si="17"/>
        <v>0</v>
      </c>
      <c r="J150" s="4"/>
      <c r="K150" s="4"/>
    </row>
    <row r="151" spans="1:11" hidden="1">
      <c r="A151" s="14" t="s">
        <v>89</v>
      </c>
      <c r="B151" s="9">
        <f t="shared" si="15"/>
        <v>0</v>
      </c>
      <c r="C151" s="4"/>
      <c r="D151" s="4"/>
      <c r="E151" s="4"/>
      <c r="F151" s="4"/>
      <c r="G151" s="9">
        <f t="shared" si="16"/>
        <v>0</v>
      </c>
      <c r="H151" s="4"/>
      <c r="I151" s="9">
        <f t="shared" si="17"/>
        <v>0</v>
      </c>
      <c r="J151" s="4"/>
      <c r="K151" s="4"/>
    </row>
    <row r="152" spans="1:11" hidden="1">
      <c r="A152" s="22" t="s">
        <v>90</v>
      </c>
      <c r="B152" s="9">
        <f t="shared" si="15"/>
        <v>0</v>
      </c>
      <c r="C152" s="4"/>
      <c r="D152" s="4"/>
      <c r="E152" s="4"/>
      <c r="F152" s="4"/>
      <c r="G152" s="9">
        <f t="shared" si="16"/>
        <v>0</v>
      </c>
      <c r="H152" s="4"/>
      <c r="I152" s="9">
        <f t="shared" si="17"/>
        <v>0</v>
      </c>
      <c r="J152" s="4"/>
      <c r="K152" s="4"/>
    </row>
    <row r="153" spans="1:11" hidden="1">
      <c r="A153" s="22" t="s">
        <v>62</v>
      </c>
      <c r="B153" s="9">
        <f t="shared" si="15"/>
        <v>0</v>
      </c>
      <c r="C153" s="4"/>
      <c r="D153" s="4"/>
      <c r="E153" s="4"/>
      <c r="F153" s="4"/>
      <c r="G153" s="9">
        <f t="shared" si="16"/>
        <v>0</v>
      </c>
      <c r="H153" s="4"/>
      <c r="I153" s="9">
        <f t="shared" si="17"/>
        <v>0</v>
      </c>
      <c r="J153" s="4"/>
      <c r="K153" s="4"/>
    </row>
    <row r="154" spans="1:11" hidden="1">
      <c r="A154" s="23" t="s">
        <v>91</v>
      </c>
      <c r="B154" s="9">
        <f t="shared" si="15"/>
        <v>1.87</v>
      </c>
      <c r="C154" s="9"/>
      <c r="D154" s="4"/>
      <c r="E154" s="9">
        <v>0.2</v>
      </c>
      <c r="F154" s="4"/>
      <c r="G154" s="9">
        <f t="shared" si="16"/>
        <v>0.2</v>
      </c>
      <c r="H154" s="4"/>
      <c r="I154" s="9">
        <f t="shared" si="17"/>
        <v>2.0700000000000003</v>
      </c>
      <c r="J154" s="4"/>
      <c r="K154" s="4"/>
    </row>
    <row r="155" spans="1:11" hidden="1">
      <c r="A155" s="23" t="s">
        <v>92</v>
      </c>
      <c r="B155" s="9">
        <f t="shared" si="15"/>
        <v>1.3200000000000003</v>
      </c>
      <c r="C155" s="4"/>
      <c r="D155" s="4"/>
      <c r="E155" s="4">
        <f>0.21-0.02</f>
        <v>0.19</v>
      </c>
      <c r="F155" s="4"/>
      <c r="G155" s="9">
        <f t="shared" si="16"/>
        <v>0.19</v>
      </c>
      <c r="H155" s="4"/>
      <c r="I155" s="9">
        <f t="shared" si="17"/>
        <v>1.5100000000000002</v>
      </c>
      <c r="J155" s="4"/>
      <c r="K155" s="4"/>
    </row>
    <row r="156" spans="1:11" hidden="1">
      <c r="A156" s="23" t="s">
        <v>93</v>
      </c>
      <c r="B156" s="9">
        <f t="shared" si="15"/>
        <v>20.139999999999997</v>
      </c>
      <c r="C156" s="4"/>
      <c r="D156" s="4"/>
      <c r="E156" s="4">
        <f>4.27+1.26-0.22</f>
        <v>5.31</v>
      </c>
      <c r="F156" s="4"/>
      <c r="G156" s="9">
        <f t="shared" si="16"/>
        <v>5.31</v>
      </c>
      <c r="H156" s="4"/>
      <c r="I156" s="9">
        <f t="shared" si="17"/>
        <v>25.449999999999996</v>
      </c>
      <c r="J156" s="4"/>
      <c r="K156" s="4"/>
    </row>
    <row r="157" spans="1:11" hidden="1">
      <c r="A157" s="23" t="s">
        <v>94</v>
      </c>
      <c r="B157" s="9">
        <f t="shared" si="15"/>
        <v>0</v>
      </c>
      <c r="C157" s="4"/>
      <c r="D157" s="4"/>
      <c r="E157" s="4"/>
      <c r="F157" s="4"/>
      <c r="G157" s="9">
        <f t="shared" si="16"/>
        <v>0</v>
      </c>
      <c r="H157" s="4"/>
      <c r="I157" s="9">
        <f t="shared" si="17"/>
        <v>0</v>
      </c>
      <c r="J157" s="4"/>
      <c r="K157" s="4"/>
    </row>
    <row r="158" spans="1:11" hidden="1">
      <c r="A158" s="23" t="s">
        <v>62</v>
      </c>
      <c r="B158" s="9">
        <f t="shared" si="15"/>
        <v>0</v>
      </c>
      <c r="C158" s="4"/>
      <c r="D158" s="4"/>
      <c r="E158" s="4"/>
      <c r="F158" s="4"/>
      <c r="G158" s="9">
        <f t="shared" si="16"/>
        <v>0</v>
      </c>
      <c r="H158" s="4"/>
      <c r="I158" s="9">
        <f t="shared" si="17"/>
        <v>0</v>
      </c>
      <c r="J158" s="4"/>
      <c r="K158" s="4"/>
    </row>
    <row r="159" spans="1:11" hidden="1">
      <c r="A159" s="23" t="s">
        <v>95</v>
      </c>
      <c r="B159" s="9">
        <f t="shared" si="15"/>
        <v>0</v>
      </c>
      <c r="C159" s="4"/>
      <c r="D159" s="4"/>
      <c r="E159" s="4"/>
      <c r="F159" s="4"/>
      <c r="G159" s="9">
        <f t="shared" si="16"/>
        <v>0</v>
      </c>
      <c r="H159" s="4"/>
      <c r="I159" s="9">
        <f t="shared" si="17"/>
        <v>0</v>
      </c>
      <c r="J159" s="4"/>
      <c r="K159" s="4"/>
    </row>
    <row r="160" spans="1:11" ht="19.5" hidden="1" customHeight="1">
      <c r="A160" s="122" t="s">
        <v>105</v>
      </c>
      <c r="B160" s="123">
        <f t="shared" ref="B160:J160" si="18">+B135+B136+B137+B138+B139+B140+B149+B154+B155+B156+B157+B158+B159</f>
        <v>3055.3399999999997</v>
      </c>
      <c r="C160" s="123">
        <f t="shared" si="18"/>
        <v>0</v>
      </c>
      <c r="D160" s="123">
        <f t="shared" si="18"/>
        <v>0</v>
      </c>
      <c r="E160" s="123">
        <f t="shared" si="18"/>
        <v>584.45000000000005</v>
      </c>
      <c r="F160" s="123">
        <f t="shared" si="18"/>
        <v>0</v>
      </c>
      <c r="G160" s="123">
        <f t="shared" si="18"/>
        <v>584.45000000000005</v>
      </c>
      <c r="H160" s="123">
        <f t="shared" si="18"/>
        <v>0</v>
      </c>
      <c r="I160" s="123">
        <f t="shared" si="18"/>
        <v>3639.7900000000004</v>
      </c>
      <c r="J160" s="123">
        <f t="shared" si="18"/>
        <v>0</v>
      </c>
      <c r="K160" s="124"/>
    </row>
    <row r="161" spans="1:13" hidden="1"/>
    <row r="162" spans="1:13">
      <c r="A162" s="25" t="s">
        <v>103</v>
      </c>
    </row>
    <row r="164" spans="1:13">
      <c r="A164" s="6" t="s">
        <v>22</v>
      </c>
      <c r="H164" t="s">
        <v>365</v>
      </c>
    </row>
    <row r="165" spans="1:13">
      <c r="A165" s="285" t="s">
        <v>74</v>
      </c>
      <c r="B165" s="283" t="s">
        <v>106</v>
      </c>
      <c r="C165" s="283" t="s">
        <v>107</v>
      </c>
      <c r="D165" s="286" t="s">
        <v>98</v>
      </c>
      <c r="E165" s="286"/>
      <c r="F165" s="286"/>
      <c r="G165" s="286"/>
      <c r="H165" s="283" t="s">
        <v>108</v>
      </c>
      <c r="I165" s="283" t="s">
        <v>109</v>
      </c>
      <c r="J165" s="283" t="s">
        <v>110</v>
      </c>
      <c r="K165" s="283" t="s">
        <v>101</v>
      </c>
    </row>
    <row r="166" spans="1:13" ht="48">
      <c r="A166" s="285"/>
      <c r="B166" s="284"/>
      <c r="C166" s="284"/>
      <c r="D166" s="109" t="s">
        <v>111</v>
      </c>
      <c r="E166" s="108" t="s">
        <v>112</v>
      </c>
      <c r="F166" s="108" t="s">
        <v>113</v>
      </c>
      <c r="G166" s="108" t="s">
        <v>96</v>
      </c>
      <c r="H166" s="284"/>
      <c r="I166" s="284"/>
      <c r="J166" s="284"/>
      <c r="K166" s="284"/>
    </row>
    <row r="167" spans="1:13">
      <c r="A167" s="27" t="s">
        <v>75</v>
      </c>
      <c r="B167" s="9">
        <f t="shared" ref="B167:B191" si="19">+I135</f>
        <v>0</v>
      </c>
      <c r="C167" s="4"/>
      <c r="D167" s="4"/>
      <c r="E167" s="36"/>
      <c r="F167" s="4"/>
      <c r="G167" s="9">
        <f>+E167+F167</f>
        <v>0</v>
      </c>
      <c r="H167" s="4"/>
      <c r="I167" s="9">
        <f>+B167+C167+G167-H167</f>
        <v>0</v>
      </c>
      <c r="J167" s="4"/>
      <c r="K167" s="4"/>
      <c r="M167" s="16"/>
    </row>
    <row r="168" spans="1:13">
      <c r="A168" s="21" t="s">
        <v>76</v>
      </c>
      <c r="B168" s="9">
        <f t="shared" si="19"/>
        <v>34.71</v>
      </c>
      <c r="C168" s="4"/>
      <c r="D168" s="4"/>
      <c r="E168" s="36">
        <f>6.16</f>
        <v>6.16</v>
      </c>
      <c r="F168" s="4"/>
      <c r="G168" s="9">
        <f>+E168+F168</f>
        <v>6.16</v>
      </c>
      <c r="H168" s="4"/>
      <c r="I168" s="9">
        <f>+B168+C168+G168-H168</f>
        <v>40.870000000000005</v>
      </c>
      <c r="J168" s="4"/>
      <c r="K168" s="4"/>
      <c r="M168" s="16"/>
    </row>
    <row r="169" spans="1:13">
      <c r="A169" s="18" t="s">
        <v>77</v>
      </c>
      <c r="B169" s="9">
        <f t="shared" si="19"/>
        <v>0</v>
      </c>
      <c r="C169" s="4"/>
      <c r="D169" s="4"/>
      <c r="E169" s="36"/>
      <c r="F169" s="4"/>
      <c r="G169" s="9">
        <f t="shared" ref="G169:G191" si="20">+E169+F169</f>
        <v>0</v>
      </c>
      <c r="H169" s="4"/>
      <c r="I169" s="9">
        <f t="shared" ref="I169:I191" si="21">+B169+C169+G169-H169</f>
        <v>0</v>
      </c>
      <c r="J169" s="4"/>
      <c r="K169" s="4"/>
      <c r="M169" s="16"/>
    </row>
    <row r="170" spans="1:13">
      <c r="A170" s="18" t="s">
        <v>78</v>
      </c>
      <c r="B170" s="9">
        <f t="shared" si="19"/>
        <v>0</v>
      </c>
      <c r="C170" s="4"/>
      <c r="D170" s="4"/>
      <c r="E170" s="36"/>
      <c r="F170" s="4"/>
      <c r="G170" s="9">
        <f t="shared" si="20"/>
        <v>0</v>
      </c>
      <c r="H170" s="4"/>
      <c r="I170" s="9">
        <f t="shared" si="21"/>
        <v>0</v>
      </c>
      <c r="J170" s="4"/>
      <c r="K170" s="4"/>
      <c r="M170" s="16"/>
    </row>
    <row r="171" spans="1:13">
      <c r="A171" s="18" t="s">
        <v>79</v>
      </c>
      <c r="B171" s="9">
        <f t="shared" si="19"/>
        <v>2.13</v>
      </c>
      <c r="C171" s="4"/>
      <c r="D171" s="4"/>
      <c r="E171" s="36">
        <f>2.99</f>
        <v>2.99</v>
      </c>
      <c r="F171" s="4"/>
      <c r="G171" s="9">
        <f t="shared" si="20"/>
        <v>2.99</v>
      </c>
      <c r="H171" s="4"/>
      <c r="I171" s="9">
        <f t="shared" si="21"/>
        <v>5.12</v>
      </c>
      <c r="J171" s="4"/>
      <c r="K171" s="4"/>
      <c r="M171" s="16"/>
    </row>
    <row r="172" spans="1:13">
      <c r="A172" s="15" t="s">
        <v>80</v>
      </c>
      <c r="B172" s="9">
        <f t="shared" si="19"/>
        <v>2068.12</v>
      </c>
      <c r="C172" s="9"/>
      <c r="D172" s="9"/>
      <c r="E172" s="36">
        <f>380.18-2.15+1.69</f>
        <v>379.72</v>
      </c>
      <c r="F172" s="9"/>
      <c r="G172" s="9">
        <f t="shared" si="20"/>
        <v>379.72</v>
      </c>
      <c r="H172" s="9">
        <v>1.69</v>
      </c>
      <c r="I172" s="9">
        <f t="shared" si="21"/>
        <v>2446.15</v>
      </c>
      <c r="J172" s="9"/>
      <c r="K172" s="9"/>
      <c r="M172" s="16"/>
    </row>
    <row r="173" spans="1:13">
      <c r="A173" s="22" t="s">
        <v>81</v>
      </c>
      <c r="B173" s="9">
        <f t="shared" si="19"/>
        <v>0</v>
      </c>
      <c r="C173" s="4"/>
      <c r="D173" s="4"/>
      <c r="E173" s="36"/>
      <c r="F173" s="4"/>
      <c r="G173" s="9">
        <f t="shared" si="20"/>
        <v>0</v>
      </c>
      <c r="H173" s="4"/>
      <c r="I173" s="9">
        <f t="shared" si="21"/>
        <v>0</v>
      </c>
      <c r="J173" s="4"/>
      <c r="K173" s="4"/>
      <c r="M173" s="16"/>
    </row>
    <row r="174" spans="1:13">
      <c r="A174" s="22" t="s">
        <v>82</v>
      </c>
      <c r="B174" s="9">
        <f t="shared" si="19"/>
        <v>0</v>
      </c>
      <c r="C174" s="4"/>
      <c r="D174" s="4"/>
      <c r="E174" s="36"/>
      <c r="F174" s="4"/>
      <c r="G174" s="9">
        <f t="shared" si="20"/>
        <v>0</v>
      </c>
      <c r="H174" s="4"/>
      <c r="I174" s="9">
        <f t="shared" si="21"/>
        <v>0</v>
      </c>
      <c r="J174" s="4"/>
      <c r="K174" s="4"/>
      <c r="M174" s="16"/>
    </row>
    <row r="175" spans="1:13">
      <c r="A175" s="22" t="s">
        <v>83</v>
      </c>
      <c r="B175" s="9">
        <f t="shared" si="19"/>
        <v>0</v>
      </c>
      <c r="C175" s="4"/>
      <c r="D175" s="4"/>
      <c r="E175" s="36"/>
      <c r="F175" s="4"/>
      <c r="G175" s="9">
        <f t="shared" si="20"/>
        <v>0</v>
      </c>
      <c r="H175" s="4"/>
      <c r="I175" s="9">
        <f t="shared" si="21"/>
        <v>0</v>
      </c>
      <c r="J175" s="4"/>
      <c r="K175" s="4"/>
      <c r="M175" s="16"/>
    </row>
    <row r="176" spans="1:13">
      <c r="A176" s="22"/>
      <c r="B176" s="9"/>
      <c r="C176" s="4"/>
      <c r="D176" s="4"/>
      <c r="E176" s="36"/>
      <c r="F176" s="4"/>
      <c r="G176" s="9"/>
      <c r="H176" s="4"/>
      <c r="I176" s="9"/>
      <c r="J176" s="4"/>
      <c r="K176" s="4"/>
      <c r="M176" s="16"/>
    </row>
    <row r="177" spans="1:13">
      <c r="A177" s="22" t="s">
        <v>84</v>
      </c>
      <c r="B177" s="9">
        <f t="shared" si="19"/>
        <v>0</v>
      </c>
      <c r="C177" s="4"/>
      <c r="D177" s="4"/>
      <c r="E177" s="36"/>
      <c r="F177" s="4"/>
      <c r="G177" s="9">
        <f t="shared" si="20"/>
        <v>0</v>
      </c>
      <c r="H177" s="4"/>
      <c r="I177" s="9">
        <f t="shared" si="21"/>
        <v>0</v>
      </c>
      <c r="J177" s="4"/>
      <c r="K177" s="4"/>
      <c r="M177" s="16"/>
    </row>
    <row r="178" spans="1:13">
      <c r="A178" s="22" t="s">
        <v>85</v>
      </c>
      <c r="B178" s="9">
        <f t="shared" si="19"/>
        <v>0</v>
      </c>
      <c r="C178" s="4"/>
      <c r="D178" s="4"/>
      <c r="E178" s="36"/>
      <c r="F178" s="4"/>
      <c r="G178" s="9">
        <f t="shared" si="20"/>
        <v>0</v>
      </c>
      <c r="H178" s="4"/>
      <c r="I178" s="9">
        <f t="shared" si="21"/>
        <v>0</v>
      </c>
      <c r="J178" s="4"/>
      <c r="K178" s="4"/>
      <c r="M178" s="16"/>
    </row>
    <row r="179" spans="1:13">
      <c r="A179" s="22" t="s">
        <v>86</v>
      </c>
      <c r="B179" s="9">
        <f t="shared" si="19"/>
        <v>0</v>
      </c>
      <c r="C179" s="4"/>
      <c r="D179" s="4"/>
      <c r="E179" s="36"/>
      <c r="F179" s="4"/>
      <c r="G179" s="9">
        <f t="shared" si="20"/>
        <v>0</v>
      </c>
      <c r="H179" s="4"/>
      <c r="I179" s="9">
        <f t="shared" si="21"/>
        <v>0</v>
      </c>
      <c r="J179" s="4"/>
      <c r="K179" s="4"/>
      <c r="M179" s="16"/>
    </row>
    <row r="180" spans="1:13">
      <c r="A180" s="22" t="s">
        <v>62</v>
      </c>
      <c r="B180" s="9">
        <f t="shared" si="19"/>
        <v>0</v>
      </c>
      <c r="C180" s="4"/>
      <c r="D180" s="4"/>
      <c r="E180" s="36"/>
      <c r="F180" s="4"/>
      <c r="G180" s="9">
        <f t="shared" si="20"/>
        <v>0</v>
      </c>
      <c r="H180" s="4"/>
      <c r="I180" s="9">
        <f t="shared" si="21"/>
        <v>0</v>
      </c>
      <c r="J180" s="4"/>
      <c r="K180" s="4"/>
      <c r="M180" s="16"/>
    </row>
    <row r="181" spans="1:13">
      <c r="A181" s="15" t="s">
        <v>87</v>
      </c>
      <c r="B181" s="9">
        <f t="shared" si="19"/>
        <v>1505.8</v>
      </c>
      <c r="C181" s="9"/>
      <c r="D181" s="9"/>
      <c r="E181" s="36">
        <f>342.48</f>
        <v>342.48</v>
      </c>
      <c r="F181" s="9"/>
      <c r="G181" s="9">
        <f t="shared" si="20"/>
        <v>342.48</v>
      </c>
      <c r="H181" s="9"/>
      <c r="I181" s="9">
        <f t="shared" si="21"/>
        <v>1848.28</v>
      </c>
      <c r="J181" s="9"/>
      <c r="K181" s="4"/>
      <c r="M181" s="16"/>
    </row>
    <row r="182" spans="1:13">
      <c r="A182" s="14" t="s">
        <v>88</v>
      </c>
      <c r="B182" s="9">
        <f t="shared" si="19"/>
        <v>0</v>
      </c>
      <c r="C182" s="4"/>
      <c r="D182" s="4"/>
      <c r="E182" s="36"/>
      <c r="F182" s="4"/>
      <c r="G182" s="9">
        <f t="shared" si="20"/>
        <v>0</v>
      </c>
      <c r="H182" s="4"/>
      <c r="I182" s="9">
        <f t="shared" si="21"/>
        <v>0</v>
      </c>
      <c r="J182" s="4"/>
      <c r="K182" s="4"/>
      <c r="M182" s="16"/>
    </row>
    <row r="183" spans="1:13">
      <c r="A183" s="14" t="s">
        <v>89</v>
      </c>
      <c r="B183" s="9">
        <f t="shared" si="19"/>
        <v>0</v>
      </c>
      <c r="C183" s="4"/>
      <c r="D183" s="4"/>
      <c r="E183" s="36"/>
      <c r="F183" s="4"/>
      <c r="G183" s="9">
        <f t="shared" si="20"/>
        <v>0</v>
      </c>
      <c r="H183" s="4"/>
      <c r="I183" s="9">
        <f t="shared" si="21"/>
        <v>0</v>
      </c>
      <c r="J183" s="4"/>
      <c r="K183" s="4"/>
      <c r="M183" s="16"/>
    </row>
    <row r="184" spans="1:13">
      <c r="A184" s="22" t="s">
        <v>90</v>
      </c>
      <c r="B184" s="9">
        <f t="shared" si="19"/>
        <v>0</v>
      </c>
      <c r="C184" s="4"/>
      <c r="D184" s="4"/>
      <c r="E184" s="36"/>
      <c r="F184" s="4"/>
      <c r="G184" s="9">
        <f t="shared" si="20"/>
        <v>0</v>
      </c>
      <c r="H184" s="4"/>
      <c r="I184" s="9">
        <f t="shared" si="21"/>
        <v>0</v>
      </c>
      <c r="J184" s="4"/>
      <c r="K184" s="4"/>
      <c r="M184" s="16"/>
    </row>
    <row r="185" spans="1:13">
      <c r="A185" s="22" t="s">
        <v>62</v>
      </c>
      <c r="B185" s="9">
        <f t="shared" si="19"/>
        <v>0</v>
      </c>
      <c r="C185" s="4"/>
      <c r="D185" s="4"/>
      <c r="E185" s="36"/>
      <c r="F185" s="4"/>
      <c r="G185" s="9">
        <f t="shared" si="20"/>
        <v>0</v>
      </c>
      <c r="H185" s="4"/>
      <c r="I185" s="9">
        <f t="shared" si="21"/>
        <v>0</v>
      </c>
      <c r="J185" s="4"/>
      <c r="K185" s="4"/>
      <c r="M185" s="16"/>
    </row>
    <row r="186" spans="1:13">
      <c r="A186" s="23" t="s">
        <v>91</v>
      </c>
      <c r="B186" s="9">
        <f t="shared" si="19"/>
        <v>2.0700000000000003</v>
      </c>
      <c r="C186" s="4"/>
      <c r="D186" s="4"/>
      <c r="E186" s="36">
        <v>0.22</v>
      </c>
      <c r="F186" s="4"/>
      <c r="G186" s="9">
        <f t="shared" si="20"/>
        <v>0.22</v>
      </c>
      <c r="H186" s="4"/>
      <c r="I186" s="9">
        <f t="shared" si="21"/>
        <v>2.2900000000000005</v>
      </c>
      <c r="J186" s="4"/>
      <c r="K186" s="4"/>
      <c r="M186" s="16"/>
    </row>
    <row r="187" spans="1:13">
      <c r="A187" s="23" t="s">
        <v>92</v>
      </c>
      <c r="B187" s="9">
        <f t="shared" si="19"/>
        <v>1.5100000000000002</v>
      </c>
      <c r="C187" s="4"/>
      <c r="D187" s="4"/>
      <c r="E187" s="36">
        <f>0.96-0.02</f>
        <v>0.94</v>
      </c>
      <c r="F187" s="4"/>
      <c r="G187" s="9">
        <f t="shared" si="20"/>
        <v>0.94</v>
      </c>
      <c r="H187" s="4"/>
      <c r="I187" s="9">
        <f t="shared" si="21"/>
        <v>2.4500000000000002</v>
      </c>
      <c r="J187" s="4"/>
      <c r="K187" s="4"/>
      <c r="M187" s="16"/>
    </row>
    <row r="188" spans="1:13">
      <c r="A188" s="23" t="s">
        <v>93</v>
      </c>
      <c r="B188" s="9">
        <f t="shared" si="19"/>
        <v>25.449999999999996</v>
      </c>
      <c r="C188" s="4"/>
      <c r="D188" s="4"/>
      <c r="E188" s="36">
        <f>6.68-0.34</f>
        <v>6.34</v>
      </c>
      <c r="F188" s="4"/>
      <c r="G188" s="9">
        <f t="shared" si="20"/>
        <v>6.34</v>
      </c>
      <c r="H188" s="4"/>
      <c r="I188" s="9">
        <f t="shared" si="21"/>
        <v>31.789999999999996</v>
      </c>
      <c r="J188" s="4"/>
      <c r="K188" s="4"/>
      <c r="M188" s="16"/>
    </row>
    <row r="189" spans="1:13">
      <c r="A189" s="23" t="s">
        <v>94</v>
      </c>
      <c r="B189" s="9">
        <f t="shared" si="19"/>
        <v>0</v>
      </c>
      <c r="C189" s="4"/>
      <c r="D189" s="4"/>
      <c r="E189" s="36"/>
      <c r="F189" s="4"/>
      <c r="G189" s="9">
        <f t="shared" si="20"/>
        <v>0</v>
      </c>
      <c r="H189" s="4"/>
      <c r="I189" s="9">
        <f t="shared" si="21"/>
        <v>0</v>
      </c>
      <c r="J189" s="4"/>
      <c r="K189" s="4"/>
      <c r="M189" s="16"/>
    </row>
    <row r="190" spans="1:13">
      <c r="A190" s="23" t="s">
        <v>62</v>
      </c>
      <c r="B190" s="9">
        <f t="shared" si="19"/>
        <v>0</v>
      </c>
      <c r="C190" s="4"/>
      <c r="D190" s="4"/>
      <c r="E190" s="36"/>
      <c r="F190" s="4"/>
      <c r="G190" s="9">
        <f t="shared" si="20"/>
        <v>0</v>
      </c>
      <c r="H190" s="4"/>
      <c r="I190" s="9">
        <f t="shared" si="21"/>
        <v>0</v>
      </c>
      <c r="J190" s="4"/>
      <c r="K190" s="4"/>
      <c r="M190" s="16"/>
    </row>
    <row r="191" spans="1:13">
      <c r="A191" s="23" t="s">
        <v>95</v>
      </c>
      <c r="B191" s="9">
        <f t="shared" si="19"/>
        <v>0</v>
      </c>
      <c r="C191" s="4"/>
      <c r="D191" s="4"/>
      <c r="E191" s="36"/>
      <c r="F191" s="4"/>
      <c r="G191" s="9">
        <f t="shared" si="20"/>
        <v>0</v>
      </c>
      <c r="H191" s="4"/>
      <c r="I191" s="9">
        <f t="shared" si="21"/>
        <v>0</v>
      </c>
      <c r="J191" s="4"/>
      <c r="K191" s="4"/>
      <c r="M191" s="16"/>
    </row>
    <row r="192" spans="1:13" ht="19.5" customHeight="1">
      <c r="A192" s="122" t="s">
        <v>105</v>
      </c>
      <c r="B192" s="123">
        <f>SUM(B167:B191)</f>
        <v>3639.7900000000004</v>
      </c>
      <c r="C192" s="123">
        <f>+C167+C168+C169+C170+C171+C172+C181+C186+C187+C188+C189+C190+C191</f>
        <v>0</v>
      </c>
      <c r="D192" s="123"/>
      <c r="E192" s="123">
        <f>SUM(E167:E191)</f>
        <v>738.85000000000014</v>
      </c>
      <c r="F192" s="123">
        <f>+F167+F168+F169+F170+F171+F172+F181+F186+F187+F188+F189+F190+F191</f>
        <v>0</v>
      </c>
      <c r="G192" s="123">
        <f>+G167+G168+G169+G170+G171+G172+G181+G186+G187+G188+G189+G190+G191</f>
        <v>738.85000000000014</v>
      </c>
      <c r="H192" s="123">
        <f>+H167+H168+H169+H170+H171+H172+H181+H186+H187+H188+H189+H190+H191</f>
        <v>1.69</v>
      </c>
      <c r="I192" s="123">
        <f>+I167+I168+I169+I170+I171+I172+I181+I186+I187+I188+I189+I190+I191</f>
        <v>4376.95</v>
      </c>
      <c r="J192" s="123">
        <f>+J167+J168+J169+J170+J171+J172+J181+J186+J187+J188+J189+J190+J191</f>
        <v>0</v>
      </c>
      <c r="K192" s="124"/>
    </row>
    <row r="193" spans="1:13">
      <c r="G193" s="16"/>
    </row>
    <row r="196" spans="1:13">
      <c r="A196" s="6" t="s">
        <v>433</v>
      </c>
      <c r="H196" t="s">
        <v>365</v>
      </c>
    </row>
    <row r="197" spans="1:13">
      <c r="A197" s="285" t="s">
        <v>74</v>
      </c>
      <c r="B197" s="283" t="s">
        <v>106</v>
      </c>
      <c r="C197" s="283" t="s">
        <v>107</v>
      </c>
      <c r="D197" s="286" t="s">
        <v>98</v>
      </c>
      <c r="E197" s="286"/>
      <c r="F197" s="286"/>
      <c r="G197" s="286"/>
      <c r="H197" s="283" t="s">
        <v>108</v>
      </c>
      <c r="I197" s="283" t="s">
        <v>109</v>
      </c>
      <c r="J197" s="283" t="s">
        <v>110</v>
      </c>
      <c r="K197" s="283" t="s">
        <v>101</v>
      </c>
    </row>
    <row r="198" spans="1:13" ht="48">
      <c r="A198" s="285"/>
      <c r="B198" s="284"/>
      <c r="C198" s="284"/>
      <c r="D198" s="109" t="s">
        <v>111</v>
      </c>
      <c r="E198" s="108" t="s">
        <v>112</v>
      </c>
      <c r="F198" s="108" t="s">
        <v>113</v>
      </c>
      <c r="G198" s="108" t="s">
        <v>96</v>
      </c>
      <c r="H198" s="284"/>
      <c r="I198" s="284"/>
      <c r="J198" s="284"/>
      <c r="K198" s="284"/>
    </row>
    <row r="199" spans="1:13">
      <c r="A199" s="27" t="s">
        <v>75</v>
      </c>
      <c r="B199" s="9">
        <f t="shared" ref="B199:B223" si="22">+I167</f>
        <v>0</v>
      </c>
      <c r="C199" s="4"/>
      <c r="D199" s="4"/>
      <c r="E199" s="9">
        <f>+$E$224*M199/100</f>
        <v>0</v>
      </c>
      <c r="F199" s="4"/>
      <c r="G199" s="9">
        <f>+E199+F199</f>
        <v>0</v>
      </c>
      <c r="H199" s="4"/>
      <c r="I199" s="9">
        <f>+B199+C199+G199-H199</f>
        <v>0</v>
      </c>
      <c r="J199" s="4"/>
      <c r="K199" s="4"/>
      <c r="M199" s="16">
        <f>+[1]Ratio!H35</f>
        <v>0</v>
      </c>
    </row>
    <row r="200" spans="1:13">
      <c r="A200" s="21" t="s">
        <v>76</v>
      </c>
      <c r="B200" s="9">
        <f t="shared" si="22"/>
        <v>40.870000000000005</v>
      </c>
      <c r="C200" s="4"/>
      <c r="D200" s="4"/>
      <c r="E200" s="9">
        <f t="shared" ref="E200:E223" si="23">+$E$224*M200/100</f>
        <v>8.9994198618850501</v>
      </c>
      <c r="F200" s="4"/>
      <c r="G200" s="9">
        <f>+E200+F200</f>
        <v>8.9994198618850501</v>
      </c>
      <c r="H200" s="4"/>
      <c r="I200" s="9">
        <f>+B200+C200+G200-H200</f>
        <v>49.869419861885056</v>
      </c>
      <c r="J200" s="4"/>
      <c r="K200" s="4"/>
      <c r="M200" s="16">
        <f>+[1]Ratio!H36</f>
        <v>1.0003089879004419</v>
      </c>
    </row>
    <row r="201" spans="1:13">
      <c r="A201" s="18" t="s">
        <v>77</v>
      </c>
      <c r="B201" s="9">
        <f t="shared" si="22"/>
        <v>0</v>
      </c>
      <c r="C201" s="4"/>
      <c r="D201" s="4"/>
      <c r="E201" s="9">
        <f t="shared" si="23"/>
        <v>0</v>
      </c>
      <c r="F201" s="4"/>
      <c r="G201" s="9">
        <f t="shared" ref="G201:G223" si="24">+E201+F201</f>
        <v>0</v>
      </c>
      <c r="H201" s="4"/>
      <c r="I201" s="9">
        <f t="shared" ref="I201:I223" si="25">+B201+C201+G201-H201</f>
        <v>0</v>
      </c>
      <c r="J201" s="4"/>
      <c r="K201" s="4"/>
      <c r="M201" s="16">
        <f>+[1]Ratio!H37</f>
        <v>0</v>
      </c>
    </row>
    <row r="202" spans="1:13">
      <c r="A202" s="18" t="s">
        <v>78</v>
      </c>
      <c r="B202" s="9">
        <f t="shared" si="22"/>
        <v>0</v>
      </c>
      <c r="C202" s="4"/>
      <c r="D202" s="4"/>
      <c r="E202" s="9">
        <f t="shared" si="23"/>
        <v>0</v>
      </c>
      <c r="F202" s="4"/>
      <c r="G202" s="9">
        <f t="shared" si="24"/>
        <v>0</v>
      </c>
      <c r="H202" s="4"/>
      <c r="I202" s="9">
        <f t="shared" si="25"/>
        <v>0</v>
      </c>
      <c r="J202" s="4"/>
      <c r="K202" s="4"/>
      <c r="M202" s="16">
        <f>+[1]Ratio!H38</f>
        <v>0</v>
      </c>
    </row>
    <row r="203" spans="1:13">
      <c r="A203" s="18" t="s">
        <v>79</v>
      </c>
      <c r="B203" s="9">
        <f t="shared" si="22"/>
        <v>5.12</v>
      </c>
      <c r="C203" s="4"/>
      <c r="D203" s="4"/>
      <c r="E203" s="9">
        <f t="shared" si="23"/>
        <v>0.64385671543476863</v>
      </c>
      <c r="F203" s="4"/>
      <c r="G203" s="9">
        <f t="shared" si="24"/>
        <v>0.64385671543476863</v>
      </c>
      <c r="H203" s="4"/>
      <c r="I203" s="9">
        <f t="shared" si="25"/>
        <v>5.7638567154347689</v>
      </c>
      <c r="J203" s="4"/>
      <c r="K203" s="4"/>
      <c r="M203" s="16">
        <f>+[1]Ratio!H39</f>
        <v>7.156635308206967E-2</v>
      </c>
    </row>
    <row r="204" spans="1:13">
      <c r="A204" s="15" t="s">
        <v>80</v>
      </c>
      <c r="B204" s="9">
        <f>+I172+1.37</f>
        <v>2447.52</v>
      </c>
      <c r="C204" s="9"/>
      <c r="D204" s="9"/>
      <c r="E204" s="9">
        <f t="shared" si="23"/>
        <v>530.97510279673224</v>
      </c>
      <c r="F204" s="9"/>
      <c r="G204" s="9">
        <f t="shared" si="24"/>
        <v>530.97510279673224</v>
      </c>
      <c r="H204" s="9"/>
      <c r="I204" s="9">
        <f t="shared" si="25"/>
        <v>2978.4951027967322</v>
      </c>
      <c r="J204" s="9"/>
      <c r="K204" s="9"/>
      <c r="M204" s="16">
        <f>+[1]Ratio!H40</f>
        <v>59.019267445054844</v>
      </c>
    </row>
    <row r="205" spans="1:13">
      <c r="A205" s="22" t="s">
        <v>81</v>
      </c>
      <c r="B205" s="9">
        <f t="shared" si="22"/>
        <v>0</v>
      </c>
      <c r="C205" s="4"/>
      <c r="D205" s="4"/>
      <c r="E205" s="9">
        <f t="shared" si="23"/>
        <v>0</v>
      </c>
      <c r="F205" s="4"/>
      <c r="G205" s="9">
        <f t="shared" si="24"/>
        <v>0</v>
      </c>
      <c r="H205" s="4"/>
      <c r="I205" s="9">
        <f t="shared" si="25"/>
        <v>0</v>
      </c>
      <c r="J205" s="4"/>
      <c r="K205" s="4"/>
      <c r="M205" s="16">
        <f>+[1]Ratio!H41</f>
        <v>0</v>
      </c>
    </row>
    <row r="206" spans="1:13">
      <c r="A206" s="22" t="s">
        <v>82</v>
      </c>
      <c r="B206" s="9">
        <f t="shared" si="22"/>
        <v>0</v>
      </c>
      <c r="C206" s="4"/>
      <c r="D206" s="4"/>
      <c r="E206" s="9">
        <f t="shared" si="23"/>
        <v>0</v>
      </c>
      <c r="F206" s="4"/>
      <c r="G206" s="9">
        <f t="shared" si="24"/>
        <v>0</v>
      </c>
      <c r="H206" s="4"/>
      <c r="I206" s="9">
        <f t="shared" si="25"/>
        <v>0</v>
      </c>
      <c r="J206" s="4"/>
      <c r="K206" s="4"/>
      <c r="M206" s="16">
        <f>+[1]Ratio!H42</f>
        <v>0</v>
      </c>
    </row>
    <row r="207" spans="1:13">
      <c r="A207" s="22" t="s">
        <v>83</v>
      </c>
      <c r="B207" s="9">
        <f t="shared" si="22"/>
        <v>0</v>
      </c>
      <c r="C207" s="4"/>
      <c r="D207" s="4"/>
      <c r="E207" s="9">
        <f t="shared" si="23"/>
        <v>0</v>
      </c>
      <c r="F207" s="4"/>
      <c r="G207" s="9">
        <f t="shared" si="24"/>
        <v>0</v>
      </c>
      <c r="H207" s="4"/>
      <c r="I207" s="9">
        <f t="shared" si="25"/>
        <v>0</v>
      </c>
      <c r="J207" s="4"/>
      <c r="K207" s="4"/>
      <c r="M207" s="16">
        <f>+[1]Ratio!H43</f>
        <v>0</v>
      </c>
    </row>
    <row r="208" spans="1:13">
      <c r="A208" s="22"/>
      <c r="B208" s="9"/>
      <c r="C208" s="4"/>
      <c r="D208" s="4"/>
      <c r="E208" s="9">
        <f t="shared" si="23"/>
        <v>0</v>
      </c>
      <c r="F208" s="4"/>
      <c r="G208" s="9"/>
      <c r="H208" s="4"/>
      <c r="I208" s="9"/>
      <c r="J208" s="4"/>
      <c r="K208" s="4"/>
      <c r="M208" s="16">
        <f>+[1]Ratio!H44</f>
        <v>0</v>
      </c>
    </row>
    <row r="209" spans="1:13">
      <c r="A209" s="22" t="s">
        <v>84</v>
      </c>
      <c r="B209" s="9">
        <f t="shared" si="22"/>
        <v>0</v>
      </c>
      <c r="C209" s="4"/>
      <c r="D209" s="4"/>
      <c r="E209" s="9">
        <f t="shared" si="23"/>
        <v>0</v>
      </c>
      <c r="F209" s="4"/>
      <c r="G209" s="9">
        <f t="shared" si="24"/>
        <v>0</v>
      </c>
      <c r="H209" s="4"/>
      <c r="I209" s="9">
        <f t="shared" si="25"/>
        <v>0</v>
      </c>
      <c r="J209" s="4"/>
      <c r="K209" s="4"/>
      <c r="M209" s="16">
        <f>+[1]Ratio!H45</f>
        <v>0</v>
      </c>
    </row>
    <row r="210" spans="1:13">
      <c r="A210" s="22" t="s">
        <v>85</v>
      </c>
      <c r="B210" s="9">
        <f t="shared" si="22"/>
        <v>0</v>
      </c>
      <c r="C210" s="4"/>
      <c r="D210" s="4"/>
      <c r="E210" s="9">
        <f t="shared" si="23"/>
        <v>0</v>
      </c>
      <c r="F210" s="4"/>
      <c r="G210" s="9">
        <f t="shared" si="24"/>
        <v>0</v>
      </c>
      <c r="H210" s="4"/>
      <c r="I210" s="9">
        <f t="shared" si="25"/>
        <v>0</v>
      </c>
      <c r="J210" s="4"/>
      <c r="K210" s="4"/>
      <c r="M210" s="16">
        <f>+[1]Ratio!H46</f>
        <v>0</v>
      </c>
    </row>
    <row r="211" spans="1:13">
      <c r="A211" s="22" t="s">
        <v>86</v>
      </c>
      <c r="B211" s="9">
        <f t="shared" si="22"/>
        <v>0</v>
      </c>
      <c r="C211" s="4"/>
      <c r="D211" s="4"/>
      <c r="E211" s="9">
        <f t="shared" si="23"/>
        <v>0</v>
      </c>
      <c r="F211" s="4"/>
      <c r="G211" s="9">
        <f t="shared" si="24"/>
        <v>0</v>
      </c>
      <c r="H211" s="4"/>
      <c r="I211" s="9">
        <f t="shared" si="25"/>
        <v>0</v>
      </c>
      <c r="J211" s="4"/>
      <c r="K211" s="4"/>
      <c r="M211" s="16">
        <f>+[1]Ratio!H47</f>
        <v>0</v>
      </c>
    </row>
    <row r="212" spans="1:13">
      <c r="A212" s="22" t="s">
        <v>62</v>
      </c>
      <c r="B212" s="9">
        <f t="shared" si="22"/>
        <v>0</v>
      </c>
      <c r="C212" s="4"/>
      <c r="D212" s="4"/>
      <c r="E212" s="9">
        <f t="shared" si="23"/>
        <v>0</v>
      </c>
      <c r="F212" s="4"/>
      <c r="G212" s="9">
        <f t="shared" si="24"/>
        <v>0</v>
      </c>
      <c r="H212" s="4"/>
      <c r="I212" s="9">
        <f t="shared" si="25"/>
        <v>0</v>
      </c>
      <c r="J212" s="4"/>
      <c r="K212" s="4"/>
      <c r="M212" s="16">
        <f>+[1]Ratio!H48</f>
        <v>0</v>
      </c>
    </row>
    <row r="213" spans="1:13">
      <c r="A213" s="15" t="s">
        <v>87</v>
      </c>
      <c r="B213" s="9">
        <f t="shared" si="22"/>
        <v>1848.28</v>
      </c>
      <c r="C213" s="9"/>
      <c r="D213" s="9"/>
      <c r="E213" s="9">
        <f t="shared" si="23"/>
        <v>351.56204357568453</v>
      </c>
      <c r="F213" s="9"/>
      <c r="G213" s="9">
        <f t="shared" si="24"/>
        <v>351.56204357568453</v>
      </c>
      <c r="H213" s="9"/>
      <c r="I213" s="9">
        <f t="shared" si="25"/>
        <v>2199.8420435756843</v>
      </c>
      <c r="J213" s="9"/>
      <c r="K213" s="4"/>
      <c r="M213" s="16">
        <f>+[1]Ratio!H49</f>
        <v>39.077038008063539</v>
      </c>
    </row>
    <row r="214" spans="1:13">
      <c r="A214" s="14" t="s">
        <v>88</v>
      </c>
      <c r="B214" s="9">
        <f t="shared" si="22"/>
        <v>0</v>
      </c>
      <c r="C214" s="4"/>
      <c r="D214" s="4"/>
      <c r="E214" s="9">
        <f t="shared" si="23"/>
        <v>0</v>
      </c>
      <c r="F214" s="4"/>
      <c r="G214" s="9">
        <f t="shared" si="24"/>
        <v>0</v>
      </c>
      <c r="H214" s="4"/>
      <c r="I214" s="9">
        <f t="shared" si="25"/>
        <v>0</v>
      </c>
      <c r="J214" s="4"/>
      <c r="K214" s="4"/>
      <c r="M214" s="16">
        <f>+[1]Ratio!H50</f>
        <v>0</v>
      </c>
    </row>
    <row r="215" spans="1:13">
      <c r="A215" s="14" t="s">
        <v>89</v>
      </c>
      <c r="B215" s="9">
        <f t="shared" si="22"/>
        <v>0</v>
      </c>
      <c r="C215" s="4"/>
      <c r="D215" s="4"/>
      <c r="E215" s="9">
        <f t="shared" si="23"/>
        <v>0</v>
      </c>
      <c r="F215" s="4"/>
      <c r="G215" s="9">
        <f t="shared" si="24"/>
        <v>0</v>
      </c>
      <c r="H215" s="4"/>
      <c r="I215" s="9">
        <f t="shared" si="25"/>
        <v>0</v>
      </c>
      <c r="J215" s="4"/>
      <c r="K215" s="4"/>
      <c r="M215" s="16">
        <f>+[1]Ratio!H51</f>
        <v>0</v>
      </c>
    </row>
    <row r="216" spans="1:13">
      <c r="A216" s="22" t="s">
        <v>90</v>
      </c>
      <c r="B216" s="9">
        <f t="shared" si="22"/>
        <v>0</v>
      </c>
      <c r="C216" s="4"/>
      <c r="D216" s="4"/>
      <c r="E216" s="9">
        <f t="shared" si="23"/>
        <v>0</v>
      </c>
      <c r="F216" s="4"/>
      <c r="G216" s="9">
        <f t="shared" si="24"/>
        <v>0</v>
      </c>
      <c r="H216" s="4"/>
      <c r="I216" s="9">
        <f t="shared" si="25"/>
        <v>0</v>
      </c>
      <c r="J216" s="4"/>
      <c r="K216" s="4"/>
      <c r="M216" s="16">
        <f>+[1]Ratio!H52</f>
        <v>0</v>
      </c>
    </row>
    <row r="217" spans="1:13">
      <c r="A217" s="22" t="s">
        <v>62</v>
      </c>
      <c r="B217" s="9">
        <f t="shared" si="22"/>
        <v>0</v>
      </c>
      <c r="C217" s="4"/>
      <c r="D217" s="4"/>
      <c r="E217" s="9">
        <f t="shared" si="23"/>
        <v>0</v>
      </c>
      <c r="F217" s="4"/>
      <c r="G217" s="9">
        <f t="shared" si="24"/>
        <v>0</v>
      </c>
      <c r="H217" s="4"/>
      <c r="I217" s="9">
        <f t="shared" si="25"/>
        <v>0</v>
      </c>
      <c r="J217" s="4"/>
      <c r="K217" s="4"/>
      <c r="M217" s="16">
        <f>+[1]Ratio!H53</f>
        <v>0</v>
      </c>
    </row>
    <row r="218" spans="1:13">
      <c r="A218" s="23" t="s">
        <v>91</v>
      </c>
      <c r="B218" s="9">
        <f t="shared" si="22"/>
        <v>2.2900000000000005</v>
      </c>
      <c r="C218" s="4"/>
      <c r="D218" s="4"/>
      <c r="E218" s="9">
        <f t="shared" si="23"/>
        <v>0.5109030750245297</v>
      </c>
      <c r="F218" s="4"/>
      <c r="G218" s="9">
        <f t="shared" si="24"/>
        <v>0.5109030750245297</v>
      </c>
      <c r="H218" s="4"/>
      <c r="I218" s="9">
        <f t="shared" si="25"/>
        <v>2.8009030750245301</v>
      </c>
      <c r="J218" s="4"/>
      <c r="K218" s="4"/>
      <c r="M218" s="16">
        <f>+[1]Ratio!H54</f>
        <v>5.6788209210850427E-2</v>
      </c>
    </row>
    <row r="219" spans="1:13">
      <c r="A219" s="23" t="s">
        <v>92</v>
      </c>
      <c r="B219" s="9">
        <f>+I187+0.1</f>
        <v>2.5500000000000003</v>
      </c>
      <c r="C219" s="4"/>
      <c r="D219" s="4"/>
      <c r="E219" s="9">
        <f t="shared" si="23"/>
        <v>0.49047882855589819</v>
      </c>
      <c r="F219" s="4"/>
      <c r="G219" s="9">
        <f t="shared" si="24"/>
        <v>0.49047882855589819</v>
      </c>
      <c r="H219" s="4"/>
      <c r="I219" s="9">
        <f t="shared" si="25"/>
        <v>3.0404788285558983</v>
      </c>
      <c r="J219" s="4"/>
      <c r="K219" s="4"/>
      <c r="M219" s="16">
        <f>+[1]Ratio!H55</f>
        <v>5.451800094996076E-2</v>
      </c>
    </row>
    <row r="220" spans="1:13">
      <c r="A220" s="23" t="s">
        <v>93</v>
      </c>
      <c r="B220" s="9">
        <f>+I188+0.53</f>
        <v>32.319999999999993</v>
      </c>
      <c r="C220" s="4"/>
      <c r="D220" s="4"/>
      <c r="E220" s="9">
        <f t="shared" si="23"/>
        <v>6.4821960444474254</v>
      </c>
      <c r="F220" s="4"/>
      <c r="G220" s="9">
        <f t="shared" si="24"/>
        <v>6.4821960444474254</v>
      </c>
      <c r="H220" s="4"/>
      <c r="I220" s="9">
        <f t="shared" si="25"/>
        <v>38.80219604444742</v>
      </c>
      <c r="J220" s="4"/>
      <c r="K220" s="4"/>
      <c r="M220" s="16">
        <f>+[1]Ratio!H56</f>
        <v>0.72051299573828853</v>
      </c>
    </row>
    <row r="221" spans="1:13">
      <c r="A221" s="23" t="s">
        <v>94</v>
      </c>
      <c r="B221" s="9">
        <f t="shared" si="22"/>
        <v>0</v>
      </c>
      <c r="C221" s="4"/>
      <c r="D221" s="4"/>
      <c r="E221" s="9">
        <f t="shared" si="23"/>
        <v>0</v>
      </c>
      <c r="F221" s="4"/>
      <c r="G221" s="9">
        <f t="shared" si="24"/>
        <v>0</v>
      </c>
      <c r="H221" s="4"/>
      <c r="I221" s="9">
        <f t="shared" si="25"/>
        <v>0</v>
      </c>
      <c r="J221" s="4"/>
      <c r="K221" s="4"/>
      <c r="M221" s="16">
        <f>+[1]Ratio!H57</f>
        <v>0</v>
      </c>
    </row>
    <row r="222" spans="1:13">
      <c r="A222" s="23" t="s">
        <v>62</v>
      </c>
      <c r="B222" s="9">
        <f t="shared" si="22"/>
        <v>0</v>
      </c>
      <c r="C222" s="4"/>
      <c r="D222" s="4"/>
      <c r="E222" s="9">
        <f t="shared" si="23"/>
        <v>0</v>
      </c>
      <c r="F222" s="4"/>
      <c r="G222" s="9">
        <f t="shared" si="24"/>
        <v>0</v>
      </c>
      <c r="H222" s="4"/>
      <c r="I222" s="9">
        <f t="shared" si="25"/>
        <v>0</v>
      </c>
      <c r="J222" s="4"/>
      <c r="K222" s="4"/>
      <c r="M222" s="16">
        <f>+[1]Ratio!H58</f>
        <v>0</v>
      </c>
    </row>
    <row r="223" spans="1:13">
      <c r="A223" s="23" t="s">
        <v>95</v>
      </c>
      <c r="B223" s="9">
        <f t="shared" si="22"/>
        <v>0</v>
      </c>
      <c r="C223" s="4"/>
      <c r="D223" s="4"/>
      <c r="E223" s="9">
        <f t="shared" si="23"/>
        <v>0</v>
      </c>
      <c r="F223" s="4"/>
      <c r="G223" s="9">
        <f t="shared" si="24"/>
        <v>0</v>
      </c>
      <c r="H223" s="4"/>
      <c r="I223" s="9">
        <f t="shared" si="25"/>
        <v>0</v>
      </c>
      <c r="J223" s="4"/>
      <c r="K223" s="4"/>
      <c r="M223" s="16">
        <f>+[1]Ratio!H59</f>
        <v>0</v>
      </c>
    </row>
    <row r="224" spans="1:13" ht="19.5" customHeight="1">
      <c r="A224" s="122" t="s">
        <v>105</v>
      </c>
      <c r="B224" s="123">
        <f>SUM(B199:B223)</f>
        <v>4378.95</v>
      </c>
      <c r="C224" s="123">
        <f>+C199+C200+C201+C202+C203+C204+C213+C218+C219+C220+C221+C222+C223</f>
        <v>0</v>
      </c>
      <c r="D224" s="123"/>
      <c r="E224" s="123">
        <f>+'[1]Summary (Gross)'!$C$36</f>
        <v>899.66400089776448</v>
      </c>
      <c r="F224" s="123">
        <f t="shared" ref="F224:J224" si="26">+F199+F200+F201+F202+F203+F204+F213+F218+F219+F220+F221+F222+F223</f>
        <v>0</v>
      </c>
      <c r="G224" s="123">
        <f t="shared" si="26"/>
        <v>899.66400089776437</v>
      </c>
      <c r="H224" s="123">
        <f t="shared" si="26"/>
        <v>0</v>
      </c>
      <c r="I224" s="123">
        <f t="shared" si="26"/>
        <v>5278.6140008977645</v>
      </c>
      <c r="J224" s="123">
        <f t="shared" si="26"/>
        <v>0</v>
      </c>
      <c r="K224" s="124"/>
    </row>
    <row r="228" spans="1:13">
      <c r="A228" s="6" t="s">
        <v>434</v>
      </c>
      <c r="H228" t="s">
        <v>365</v>
      </c>
    </row>
    <row r="229" spans="1:13">
      <c r="A229" s="285" t="s">
        <v>74</v>
      </c>
      <c r="B229" s="283" t="s">
        <v>106</v>
      </c>
      <c r="C229" s="283" t="s">
        <v>107</v>
      </c>
      <c r="D229" s="286" t="s">
        <v>98</v>
      </c>
      <c r="E229" s="286"/>
      <c r="F229" s="286"/>
      <c r="G229" s="286"/>
      <c r="H229" s="283" t="s">
        <v>108</v>
      </c>
      <c r="I229" s="283" t="s">
        <v>109</v>
      </c>
      <c r="J229" s="283" t="s">
        <v>110</v>
      </c>
      <c r="K229" s="283" t="s">
        <v>101</v>
      </c>
    </row>
    <row r="230" spans="1:13" ht="48">
      <c r="A230" s="285"/>
      <c r="B230" s="284"/>
      <c r="C230" s="284"/>
      <c r="D230" s="109" t="s">
        <v>111</v>
      </c>
      <c r="E230" s="108" t="s">
        <v>112</v>
      </c>
      <c r="F230" s="108" t="s">
        <v>113</v>
      </c>
      <c r="G230" s="108" t="s">
        <v>96</v>
      </c>
      <c r="H230" s="284"/>
      <c r="I230" s="284"/>
      <c r="J230" s="284"/>
      <c r="K230" s="284"/>
    </row>
    <row r="231" spans="1:13">
      <c r="A231" s="27" t="s">
        <v>75</v>
      </c>
      <c r="B231" s="9">
        <f t="shared" ref="B231:B255" si="27">+I199</f>
        <v>0</v>
      </c>
      <c r="C231" s="4"/>
      <c r="D231" s="4"/>
      <c r="E231" s="9">
        <f>+$E$256*M231/100</f>
        <v>0</v>
      </c>
      <c r="F231" s="4"/>
      <c r="G231" s="9">
        <f>+E231+F231</f>
        <v>0</v>
      </c>
      <c r="H231" s="4"/>
      <c r="I231" s="9">
        <f>+B231+C231+G231-H231</f>
        <v>0</v>
      </c>
      <c r="J231" s="4"/>
      <c r="K231" s="4"/>
      <c r="M231" s="16">
        <f>+M199</f>
        <v>0</v>
      </c>
    </row>
    <row r="232" spans="1:13">
      <c r="A232" s="21" t="s">
        <v>76</v>
      </c>
      <c r="B232" s="9">
        <f t="shared" si="27"/>
        <v>49.869419861885056</v>
      </c>
      <c r="C232" s="4"/>
      <c r="D232" s="4"/>
      <c r="E232" s="9">
        <f t="shared" ref="E232:E255" si="28">+$E$256*M232/100</f>
        <v>10.326714917144038</v>
      </c>
      <c r="F232" s="4"/>
      <c r="G232" s="9">
        <f>+E232+F232</f>
        <v>10.326714917144038</v>
      </c>
      <c r="H232" s="4"/>
      <c r="I232" s="9">
        <f>+B232+C232+G232-H232</f>
        <v>60.196134779029094</v>
      </c>
      <c r="J232" s="4"/>
      <c r="K232" s="4"/>
      <c r="M232" s="16">
        <f t="shared" ref="M232:M255" si="29">+M200</f>
        <v>1.0003089879004419</v>
      </c>
    </row>
    <row r="233" spans="1:13">
      <c r="A233" s="18" t="s">
        <v>77</v>
      </c>
      <c r="B233" s="9">
        <f t="shared" si="27"/>
        <v>0</v>
      </c>
      <c r="C233" s="4"/>
      <c r="D233" s="4"/>
      <c r="E233" s="9">
        <f t="shared" si="28"/>
        <v>0</v>
      </c>
      <c r="F233" s="4"/>
      <c r="G233" s="9">
        <f t="shared" ref="G233:G255" si="30">+E233+F233</f>
        <v>0</v>
      </c>
      <c r="H233" s="4"/>
      <c r="I233" s="9">
        <f t="shared" ref="I233:I255" si="31">+B233+C233+G233-H233</f>
        <v>0</v>
      </c>
      <c r="J233" s="4"/>
      <c r="K233" s="4"/>
      <c r="M233" s="16">
        <f t="shared" si="29"/>
        <v>0</v>
      </c>
    </row>
    <row r="234" spans="1:13">
      <c r="A234" s="18" t="s">
        <v>78</v>
      </c>
      <c r="B234" s="9">
        <f t="shared" si="27"/>
        <v>0</v>
      </c>
      <c r="C234" s="4"/>
      <c r="D234" s="4"/>
      <c r="E234" s="9">
        <f t="shared" si="28"/>
        <v>0</v>
      </c>
      <c r="F234" s="4"/>
      <c r="G234" s="9">
        <f t="shared" si="30"/>
        <v>0</v>
      </c>
      <c r="H234" s="4"/>
      <c r="I234" s="9">
        <f t="shared" si="31"/>
        <v>0</v>
      </c>
      <c r="J234" s="4"/>
      <c r="K234" s="4"/>
      <c r="M234" s="16">
        <f t="shared" si="29"/>
        <v>0</v>
      </c>
    </row>
    <row r="235" spans="1:13">
      <c r="A235" s="18" t="s">
        <v>79</v>
      </c>
      <c r="B235" s="9">
        <f t="shared" si="27"/>
        <v>5.7638567154347689</v>
      </c>
      <c r="C235" s="4"/>
      <c r="D235" s="4"/>
      <c r="E235" s="9">
        <f t="shared" si="28"/>
        <v>0.73881704041207852</v>
      </c>
      <c r="F235" s="4"/>
      <c r="G235" s="9">
        <f t="shared" si="30"/>
        <v>0.73881704041207852</v>
      </c>
      <c r="H235" s="4"/>
      <c r="I235" s="9">
        <f t="shared" si="31"/>
        <v>6.502673755846847</v>
      </c>
      <c r="J235" s="4"/>
      <c r="K235" s="4"/>
      <c r="M235" s="16">
        <f t="shared" si="29"/>
        <v>7.156635308206967E-2</v>
      </c>
    </row>
    <row r="236" spans="1:13">
      <c r="A236" s="15" t="s">
        <v>80</v>
      </c>
      <c r="B236" s="9">
        <f t="shared" si="27"/>
        <v>2978.4951027967322</v>
      </c>
      <c r="C236" s="9"/>
      <c r="D236" s="9"/>
      <c r="E236" s="9">
        <f t="shared" si="28"/>
        <v>609.28688724770393</v>
      </c>
      <c r="F236" s="9"/>
      <c r="G236" s="9">
        <f t="shared" si="30"/>
        <v>609.28688724770393</v>
      </c>
      <c r="H236" s="9"/>
      <c r="I236" s="9">
        <f t="shared" si="31"/>
        <v>3587.781990044436</v>
      </c>
      <c r="J236" s="9"/>
      <c r="K236" s="9"/>
      <c r="M236" s="16">
        <f t="shared" si="29"/>
        <v>59.019267445054844</v>
      </c>
    </row>
    <row r="237" spans="1:13">
      <c r="A237" s="22" t="s">
        <v>81</v>
      </c>
      <c r="B237" s="9">
        <f t="shared" si="27"/>
        <v>0</v>
      </c>
      <c r="C237" s="4"/>
      <c r="D237" s="4"/>
      <c r="E237" s="9">
        <f t="shared" si="28"/>
        <v>0</v>
      </c>
      <c r="F237" s="4"/>
      <c r="G237" s="9">
        <f t="shared" si="30"/>
        <v>0</v>
      </c>
      <c r="H237" s="4"/>
      <c r="I237" s="9">
        <f t="shared" si="31"/>
        <v>0</v>
      </c>
      <c r="J237" s="4"/>
      <c r="K237" s="4"/>
      <c r="M237" s="16">
        <f t="shared" si="29"/>
        <v>0</v>
      </c>
    </row>
    <row r="238" spans="1:13">
      <c r="A238" s="22" t="s">
        <v>82</v>
      </c>
      <c r="B238" s="9">
        <f t="shared" si="27"/>
        <v>0</v>
      </c>
      <c r="C238" s="4"/>
      <c r="D238" s="4"/>
      <c r="E238" s="9">
        <f t="shared" si="28"/>
        <v>0</v>
      </c>
      <c r="F238" s="4"/>
      <c r="G238" s="9">
        <f t="shared" si="30"/>
        <v>0</v>
      </c>
      <c r="H238" s="4"/>
      <c r="I238" s="9">
        <f t="shared" si="31"/>
        <v>0</v>
      </c>
      <c r="J238" s="4"/>
      <c r="K238" s="4"/>
      <c r="M238" s="16">
        <f t="shared" si="29"/>
        <v>0</v>
      </c>
    </row>
    <row r="239" spans="1:13">
      <c r="A239" s="22" t="s">
        <v>83</v>
      </c>
      <c r="B239" s="9">
        <f t="shared" si="27"/>
        <v>0</v>
      </c>
      <c r="C239" s="4"/>
      <c r="D239" s="4"/>
      <c r="E239" s="9">
        <f t="shared" si="28"/>
        <v>0</v>
      </c>
      <c r="F239" s="4"/>
      <c r="G239" s="9">
        <f t="shared" si="30"/>
        <v>0</v>
      </c>
      <c r="H239" s="4"/>
      <c r="I239" s="9">
        <f t="shared" si="31"/>
        <v>0</v>
      </c>
      <c r="J239" s="4"/>
      <c r="K239" s="4"/>
      <c r="M239" s="16">
        <f t="shared" si="29"/>
        <v>0</v>
      </c>
    </row>
    <row r="240" spans="1:13">
      <c r="A240" s="22"/>
      <c r="B240" s="9"/>
      <c r="C240" s="4"/>
      <c r="D240" s="4"/>
      <c r="E240" s="9">
        <f t="shared" si="28"/>
        <v>0</v>
      </c>
      <c r="F240" s="4"/>
      <c r="G240" s="9"/>
      <c r="H240" s="4"/>
      <c r="I240" s="9"/>
      <c r="J240" s="4"/>
      <c r="K240" s="4"/>
      <c r="M240" s="16">
        <f t="shared" si="29"/>
        <v>0</v>
      </c>
    </row>
    <row r="241" spans="1:13">
      <c r="A241" s="22" t="s">
        <v>84</v>
      </c>
      <c r="B241" s="9">
        <f t="shared" si="27"/>
        <v>0</v>
      </c>
      <c r="C241" s="4"/>
      <c r="D241" s="4"/>
      <c r="E241" s="9">
        <f t="shared" si="28"/>
        <v>0</v>
      </c>
      <c r="F241" s="4"/>
      <c r="G241" s="9">
        <f t="shared" si="30"/>
        <v>0</v>
      </c>
      <c r="H241" s="4"/>
      <c r="I241" s="9">
        <f t="shared" si="31"/>
        <v>0</v>
      </c>
      <c r="J241" s="4"/>
      <c r="K241" s="4"/>
      <c r="M241" s="16">
        <f t="shared" si="29"/>
        <v>0</v>
      </c>
    </row>
    <row r="242" spans="1:13">
      <c r="A242" s="22" t="s">
        <v>85</v>
      </c>
      <c r="B242" s="9">
        <f t="shared" si="27"/>
        <v>0</v>
      </c>
      <c r="C242" s="4"/>
      <c r="D242" s="4"/>
      <c r="E242" s="9">
        <f t="shared" si="28"/>
        <v>0</v>
      </c>
      <c r="F242" s="4"/>
      <c r="G242" s="9">
        <f t="shared" si="30"/>
        <v>0</v>
      </c>
      <c r="H242" s="4"/>
      <c r="I242" s="9">
        <f t="shared" si="31"/>
        <v>0</v>
      </c>
      <c r="J242" s="4"/>
      <c r="K242" s="4"/>
      <c r="M242" s="16">
        <f t="shared" si="29"/>
        <v>0</v>
      </c>
    </row>
    <row r="243" spans="1:13">
      <c r="A243" s="22" t="s">
        <v>86</v>
      </c>
      <c r="B243" s="9">
        <f t="shared" si="27"/>
        <v>0</v>
      </c>
      <c r="C243" s="4"/>
      <c r="D243" s="4"/>
      <c r="E243" s="9">
        <f t="shared" si="28"/>
        <v>0</v>
      </c>
      <c r="F243" s="4"/>
      <c r="G243" s="9">
        <f t="shared" si="30"/>
        <v>0</v>
      </c>
      <c r="H243" s="4"/>
      <c r="I243" s="9">
        <f t="shared" si="31"/>
        <v>0</v>
      </c>
      <c r="J243" s="4"/>
      <c r="K243" s="4"/>
      <c r="M243" s="16">
        <f t="shared" si="29"/>
        <v>0</v>
      </c>
    </row>
    <row r="244" spans="1:13">
      <c r="A244" s="22" t="s">
        <v>62</v>
      </c>
      <c r="B244" s="9">
        <f t="shared" si="27"/>
        <v>0</v>
      </c>
      <c r="C244" s="4"/>
      <c r="D244" s="4"/>
      <c r="E244" s="9">
        <f t="shared" si="28"/>
        <v>0</v>
      </c>
      <c r="F244" s="4"/>
      <c r="G244" s="9">
        <f t="shared" si="30"/>
        <v>0</v>
      </c>
      <c r="H244" s="4"/>
      <c r="I244" s="9">
        <f t="shared" si="31"/>
        <v>0</v>
      </c>
      <c r="J244" s="4"/>
      <c r="K244" s="4"/>
      <c r="M244" s="16">
        <f t="shared" si="29"/>
        <v>0</v>
      </c>
    </row>
    <row r="245" spans="1:13">
      <c r="A245" s="15" t="s">
        <v>87</v>
      </c>
      <c r="B245" s="9">
        <f t="shared" si="27"/>
        <v>2199.8420435756843</v>
      </c>
      <c r="C245" s="9"/>
      <c r="D245" s="9"/>
      <c r="E245" s="9">
        <f t="shared" si="28"/>
        <v>403.41278164726174</v>
      </c>
      <c r="F245" s="9"/>
      <c r="G245" s="9">
        <f t="shared" si="30"/>
        <v>403.41278164726174</v>
      </c>
      <c r="H245" s="9"/>
      <c r="I245" s="9">
        <f t="shared" si="31"/>
        <v>2603.2548252229462</v>
      </c>
      <c r="J245" s="9"/>
      <c r="K245" s="4"/>
      <c r="M245" s="16">
        <f t="shared" si="29"/>
        <v>39.077038008063539</v>
      </c>
    </row>
    <row r="246" spans="1:13">
      <c r="A246" s="14" t="s">
        <v>88</v>
      </c>
      <c r="B246" s="9">
        <f t="shared" si="27"/>
        <v>0</v>
      </c>
      <c r="C246" s="4"/>
      <c r="D246" s="4"/>
      <c r="E246" s="9">
        <f t="shared" si="28"/>
        <v>0</v>
      </c>
      <c r="F246" s="4"/>
      <c r="G246" s="9">
        <f t="shared" si="30"/>
        <v>0</v>
      </c>
      <c r="H246" s="4"/>
      <c r="I246" s="9">
        <f t="shared" si="31"/>
        <v>0</v>
      </c>
      <c r="J246" s="4"/>
      <c r="K246" s="4"/>
      <c r="M246" s="16">
        <f t="shared" si="29"/>
        <v>0</v>
      </c>
    </row>
    <row r="247" spans="1:13">
      <c r="A247" s="14" t="s">
        <v>89</v>
      </c>
      <c r="B247" s="9">
        <f t="shared" si="27"/>
        <v>0</v>
      </c>
      <c r="C247" s="4"/>
      <c r="D247" s="4"/>
      <c r="E247" s="9">
        <f t="shared" si="28"/>
        <v>0</v>
      </c>
      <c r="F247" s="4"/>
      <c r="G247" s="9">
        <f t="shared" si="30"/>
        <v>0</v>
      </c>
      <c r="H247" s="4"/>
      <c r="I247" s="9">
        <f t="shared" si="31"/>
        <v>0</v>
      </c>
      <c r="J247" s="4"/>
      <c r="K247" s="4"/>
      <c r="M247" s="16">
        <f t="shared" si="29"/>
        <v>0</v>
      </c>
    </row>
    <row r="248" spans="1:13">
      <c r="A248" s="22" t="s">
        <v>90</v>
      </c>
      <c r="B248" s="9">
        <f t="shared" si="27"/>
        <v>0</v>
      </c>
      <c r="C248" s="4"/>
      <c r="D248" s="4"/>
      <c r="E248" s="9">
        <f t="shared" si="28"/>
        <v>0</v>
      </c>
      <c r="F248" s="4"/>
      <c r="G248" s="9">
        <f t="shared" si="30"/>
        <v>0</v>
      </c>
      <c r="H248" s="4"/>
      <c r="I248" s="9">
        <f t="shared" si="31"/>
        <v>0</v>
      </c>
      <c r="J248" s="4"/>
      <c r="K248" s="4"/>
      <c r="M248" s="16">
        <f t="shared" si="29"/>
        <v>0</v>
      </c>
    </row>
    <row r="249" spans="1:13">
      <c r="A249" s="22" t="s">
        <v>62</v>
      </c>
      <c r="B249" s="9">
        <f t="shared" si="27"/>
        <v>0</v>
      </c>
      <c r="C249" s="4"/>
      <c r="D249" s="4"/>
      <c r="E249" s="9">
        <f t="shared" si="28"/>
        <v>0</v>
      </c>
      <c r="F249" s="4"/>
      <c r="G249" s="9">
        <f t="shared" si="30"/>
        <v>0</v>
      </c>
      <c r="H249" s="4"/>
      <c r="I249" s="9">
        <f t="shared" si="31"/>
        <v>0</v>
      </c>
      <c r="J249" s="4"/>
      <c r="K249" s="4"/>
      <c r="M249" s="16">
        <f t="shared" si="29"/>
        <v>0</v>
      </c>
    </row>
    <row r="250" spans="1:13">
      <c r="A250" s="23" t="s">
        <v>91</v>
      </c>
      <c r="B250" s="9">
        <f t="shared" si="27"/>
        <v>2.8009030750245301</v>
      </c>
      <c r="C250" s="4"/>
      <c r="D250" s="4"/>
      <c r="E250" s="9">
        <f t="shared" si="28"/>
        <v>0.58625450162800297</v>
      </c>
      <c r="F250" s="4"/>
      <c r="G250" s="9">
        <f t="shared" si="30"/>
        <v>0.58625450162800297</v>
      </c>
      <c r="H250" s="4"/>
      <c r="I250" s="9">
        <f t="shared" si="31"/>
        <v>3.387157576652533</v>
      </c>
      <c r="J250" s="4"/>
      <c r="K250" s="4"/>
      <c r="M250" s="16">
        <f t="shared" si="29"/>
        <v>5.6788209210850427E-2</v>
      </c>
    </row>
    <row r="251" spans="1:13">
      <c r="A251" s="23" t="s">
        <v>92</v>
      </c>
      <c r="B251" s="9">
        <f t="shared" si="27"/>
        <v>3.0404788285558983</v>
      </c>
      <c r="C251" s="4"/>
      <c r="D251" s="4"/>
      <c r="E251" s="9">
        <f t="shared" si="28"/>
        <v>0.56281794972621579</v>
      </c>
      <c r="F251" s="4"/>
      <c r="G251" s="9">
        <f t="shared" si="30"/>
        <v>0.56281794972621579</v>
      </c>
      <c r="H251" s="4"/>
      <c r="I251" s="9">
        <f t="shared" si="31"/>
        <v>3.6032967782821141</v>
      </c>
      <c r="J251" s="4"/>
      <c r="K251" s="4"/>
      <c r="M251" s="16">
        <f t="shared" si="29"/>
        <v>5.451800094996076E-2</v>
      </c>
    </row>
    <row r="252" spans="1:13">
      <c r="A252" s="23" t="s">
        <v>93</v>
      </c>
      <c r="B252" s="9">
        <f t="shared" si="27"/>
        <v>38.80219604444742</v>
      </c>
      <c r="C252" s="4"/>
      <c r="D252" s="4"/>
      <c r="E252" s="9">
        <f t="shared" si="28"/>
        <v>7.4382339767872407</v>
      </c>
      <c r="F252" s="4"/>
      <c r="G252" s="9">
        <f t="shared" si="30"/>
        <v>7.4382339767872407</v>
      </c>
      <c r="H252" s="4"/>
      <c r="I252" s="9">
        <f t="shared" si="31"/>
        <v>46.240430021234658</v>
      </c>
      <c r="J252" s="4"/>
      <c r="K252" s="4"/>
      <c r="M252" s="16">
        <f t="shared" si="29"/>
        <v>0.72051299573828853</v>
      </c>
    </row>
    <row r="253" spans="1:13">
      <c r="A253" s="23" t="s">
        <v>94</v>
      </c>
      <c r="B253" s="9">
        <f t="shared" si="27"/>
        <v>0</v>
      </c>
      <c r="C253" s="4"/>
      <c r="D253" s="4"/>
      <c r="E253" s="9">
        <f t="shared" si="28"/>
        <v>0</v>
      </c>
      <c r="F253" s="4"/>
      <c r="G253" s="9">
        <f t="shared" si="30"/>
        <v>0</v>
      </c>
      <c r="H253" s="4"/>
      <c r="I253" s="9">
        <f t="shared" si="31"/>
        <v>0</v>
      </c>
      <c r="J253" s="4"/>
      <c r="K253" s="4"/>
      <c r="M253" s="16">
        <f t="shared" si="29"/>
        <v>0</v>
      </c>
    </row>
    <row r="254" spans="1:13">
      <c r="A254" s="23" t="s">
        <v>62</v>
      </c>
      <c r="B254" s="9">
        <f t="shared" si="27"/>
        <v>0</v>
      </c>
      <c r="C254" s="4"/>
      <c r="D254" s="4"/>
      <c r="E254" s="9">
        <f t="shared" si="28"/>
        <v>0</v>
      </c>
      <c r="F254" s="4"/>
      <c r="G254" s="9">
        <f t="shared" si="30"/>
        <v>0</v>
      </c>
      <c r="H254" s="4"/>
      <c r="I254" s="9">
        <f t="shared" si="31"/>
        <v>0</v>
      </c>
      <c r="J254" s="4"/>
      <c r="K254" s="4"/>
      <c r="M254" s="16">
        <f t="shared" si="29"/>
        <v>0</v>
      </c>
    </row>
    <row r="255" spans="1:13">
      <c r="A255" s="23" t="s">
        <v>95</v>
      </c>
      <c r="B255" s="9">
        <f t="shared" si="27"/>
        <v>0</v>
      </c>
      <c r="C255" s="4"/>
      <c r="D255" s="4"/>
      <c r="E255" s="9">
        <f t="shared" si="28"/>
        <v>0</v>
      </c>
      <c r="F255" s="4"/>
      <c r="G255" s="9">
        <f t="shared" si="30"/>
        <v>0</v>
      </c>
      <c r="H255" s="4"/>
      <c r="I255" s="9">
        <f t="shared" si="31"/>
        <v>0</v>
      </c>
      <c r="J255" s="4"/>
      <c r="K255" s="4"/>
      <c r="M255" s="16">
        <f t="shared" si="29"/>
        <v>0</v>
      </c>
    </row>
    <row r="256" spans="1:13" ht="19.5" customHeight="1">
      <c r="A256" s="122" t="s">
        <v>105</v>
      </c>
      <c r="B256" s="123">
        <f>SUM(B231:B255)</f>
        <v>5278.6140008977645</v>
      </c>
      <c r="C256" s="123">
        <f>+C231+C232+C233+C234+C235+C236+C245+C250+C251+C252+C253+C254+C255</f>
        <v>0</v>
      </c>
      <c r="D256" s="123"/>
      <c r="E256" s="123">
        <f>+'[1]Summary (Gross)'!$D$36</f>
        <v>1032.3525072806633</v>
      </c>
      <c r="F256" s="123">
        <f>+F231+F232+F233+F234+F235+F236+F245+F250+F251+F252+F253+F254+F255</f>
        <v>0</v>
      </c>
      <c r="G256" s="123">
        <f>+G231+G232+G233+G234+G235+G236+G245+G250+G251+G252+G253+G254+G255</f>
        <v>1032.3525072806631</v>
      </c>
      <c r="H256" s="123">
        <f>+H231+H232+H233+H234+H235+H236+H245+H250+H251+H252+H253+H254+H255</f>
        <v>0</v>
      </c>
      <c r="I256" s="123">
        <f>+I231+I232+I233+I234+I235+I236+I245+I250+I251+I252+I253+I254+I255</f>
        <v>6310.9665081784278</v>
      </c>
      <c r="J256" s="123">
        <f>+J231+J232+J233+J234+J235+J236+J245+J250+J251+J252+J253+J254+J255</f>
        <v>0</v>
      </c>
      <c r="K256" s="124"/>
    </row>
    <row r="260" spans="1:13">
      <c r="A260" s="6" t="s">
        <v>435</v>
      </c>
      <c r="H260" t="s">
        <v>365</v>
      </c>
    </row>
    <row r="261" spans="1:13">
      <c r="A261" s="285" t="s">
        <v>74</v>
      </c>
      <c r="B261" s="283" t="s">
        <v>106</v>
      </c>
      <c r="C261" s="283" t="s">
        <v>107</v>
      </c>
      <c r="D261" s="286" t="s">
        <v>98</v>
      </c>
      <c r="E261" s="286"/>
      <c r="F261" s="286"/>
      <c r="G261" s="286"/>
      <c r="H261" s="283" t="s">
        <v>108</v>
      </c>
      <c r="I261" s="283" t="s">
        <v>109</v>
      </c>
      <c r="J261" s="283" t="s">
        <v>110</v>
      </c>
      <c r="K261" s="283" t="s">
        <v>101</v>
      </c>
    </row>
    <row r="262" spans="1:13" ht="48">
      <c r="A262" s="285"/>
      <c r="B262" s="284"/>
      <c r="C262" s="284"/>
      <c r="D262" s="109" t="s">
        <v>111</v>
      </c>
      <c r="E262" s="108" t="s">
        <v>112</v>
      </c>
      <c r="F262" s="108" t="s">
        <v>113</v>
      </c>
      <c r="G262" s="108" t="s">
        <v>96</v>
      </c>
      <c r="H262" s="284"/>
      <c r="I262" s="284"/>
      <c r="J262" s="284"/>
      <c r="K262" s="284"/>
    </row>
    <row r="263" spans="1:13">
      <c r="A263" s="27" t="s">
        <v>75</v>
      </c>
      <c r="B263" s="9">
        <f t="shared" ref="B263:B287" si="32">+I231</f>
        <v>0</v>
      </c>
      <c r="C263" s="4"/>
      <c r="D263" s="4"/>
      <c r="E263" s="9">
        <f>+$E$288*M263/100</f>
        <v>0</v>
      </c>
      <c r="F263" s="4"/>
      <c r="G263" s="9">
        <f>+E263+F263</f>
        <v>0</v>
      </c>
      <c r="H263" s="4"/>
      <c r="I263" s="9">
        <f>+B263+C263+G263-H263</f>
        <v>0</v>
      </c>
      <c r="J263" s="4"/>
      <c r="K263" s="4"/>
      <c r="M263" s="16">
        <f>+M231</f>
        <v>0</v>
      </c>
    </row>
    <row r="264" spans="1:13">
      <c r="A264" s="21" t="s">
        <v>76</v>
      </c>
      <c r="B264" s="9">
        <f t="shared" si="32"/>
        <v>60.196134779029094</v>
      </c>
      <c r="C264" s="4"/>
      <c r="D264" s="4"/>
      <c r="E264" s="9">
        <f t="shared" ref="E264:E287" si="33">+$E$288*M264/100</f>
        <v>12.775373696964504</v>
      </c>
      <c r="F264" s="4"/>
      <c r="G264" s="9">
        <f>+E264+F264</f>
        <v>12.775373696964504</v>
      </c>
      <c r="H264" s="4"/>
      <c r="I264" s="9">
        <f>+B264+C264+G264-H264</f>
        <v>72.971508475993602</v>
      </c>
      <c r="J264" s="4"/>
      <c r="K264" s="4"/>
      <c r="M264" s="16">
        <f t="shared" ref="M264:M287" si="34">+M232</f>
        <v>1.0003089879004419</v>
      </c>
    </row>
    <row r="265" spans="1:13">
      <c r="A265" s="18" t="s">
        <v>77</v>
      </c>
      <c r="B265" s="9">
        <f t="shared" si="32"/>
        <v>0</v>
      </c>
      <c r="C265" s="4"/>
      <c r="D265" s="4"/>
      <c r="E265" s="9">
        <f t="shared" si="33"/>
        <v>0</v>
      </c>
      <c r="F265" s="4"/>
      <c r="G265" s="9">
        <f t="shared" ref="G265:G287" si="35">+E265+F265</f>
        <v>0</v>
      </c>
      <c r="H265" s="4"/>
      <c r="I265" s="9">
        <f t="shared" ref="I265:I287" si="36">+B265+C265+G265-H265</f>
        <v>0</v>
      </c>
      <c r="J265" s="4"/>
      <c r="K265" s="4"/>
      <c r="M265" s="16">
        <f t="shared" si="34"/>
        <v>0</v>
      </c>
    </row>
    <row r="266" spans="1:13">
      <c r="A266" s="18" t="s">
        <v>78</v>
      </c>
      <c r="B266" s="9">
        <f t="shared" si="32"/>
        <v>0</v>
      </c>
      <c r="C266" s="4"/>
      <c r="D266" s="4"/>
      <c r="E266" s="9">
        <f t="shared" si="33"/>
        <v>0</v>
      </c>
      <c r="F266" s="4"/>
      <c r="G266" s="9">
        <f t="shared" si="35"/>
        <v>0</v>
      </c>
      <c r="H266" s="4"/>
      <c r="I266" s="9">
        <f t="shared" si="36"/>
        <v>0</v>
      </c>
      <c r="J266" s="4"/>
      <c r="K266" s="4"/>
      <c r="M266" s="16">
        <f t="shared" si="34"/>
        <v>0</v>
      </c>
    </row>
    <row r="267" spans="1:13">
      <c r="A267" s="18" t="s">
        <v>79</v>
      </c>
      <c r="B267" s="9">
        <f t="shared" si="32"/>
        <v>6.502673755846847</v>
      </c>
      <c r="C267" s="4"/>
      <c r="D267" s="4"/>
      <c r="E267" s="9">
        <f t="shared" si="33"/>
        <v>0.91400448842447479</v>
      </c>
      <c r="F267" s="4"/>
      <c r="G267" s="9">
        <f t="shared" si="35"/>
        <v>0.91400448842447479</v>
      </c>
      <c r="H267" s="4"/>
      <c r="I267" s="9">
        <f t="shared" si="36"/>
        <v>7.4166782442713215</v>
      </c>
      <c r="J267" s="4"/>
      <c r="K267" s="4"/>
      <c r="M267" s="16">
        <f t="shared" si="34"/>
        <v>7.156635308206967E-2</v>
      </c>
    </row>
    <row r="268" spans="1:13">
      <c r="A268" s="15" t="s">
        <v>80</v>
      </c>
      <c r="B268" s="9">
        <f t="shared" si="32"/>
        <v>3587.781990044436</v>
      </c>
      <c r="C268" s="9"/>
      <c r="D268" s="9"/>
      <c r="E268" s="9">
        <f t="shared" si="33"/>
        <v>753.76029412095022</v>
      </c>
      <c r="F268" s="9"/>
      <c r="G268" s="9">
        <f t="shared" si="35"/>
        <v>753.76029412095022</v>
      </c>
      <c r="H268" s="9"/>
      <c r="I268" s="9">
        <f t="shared" si="36"/>
        <v>4341.5422841653863</v>
      </c>
      <c r="J268" s="9"/>
      <c r="K268" s="9"/>
      <c r="M268" s="16">
        <f t="shared" si="34"/>
        <v>59.019267445054844</v>
      </c>
    </row>
    <row r="269" spans="1:13">
      <c r="A269" s="22" t="s">
        <v>81</v>
      </c>
      <c r="B269" s="9">
        <f t="shared" si="32"/>
        <v>0</v>
      </c>
      <c r="C269" s="4"/>
      <c r="D269" s="4"/>
      <c r="E269" s="9">
        <f t="shared" si="33"/>
        <v>0</v>
      </c>
      <c r="F269" s="4"/>
      <c r="G269" s="9">
        <f t="shared" si="35"/>
        <v>0</v>
      </c>
      <c r="H269" s="4"/>
      <c r="I269" s="9">
        <f t="shared" si="36"/>
        <v>0</v>
      </c>
      <c r="J269" s="4"/>
      <c r="K269" s="4"/>
      <c r="M269" s="16">
        <f t="shared" si="34"/>
        <v>0</v>
      </c>
    </row>
    <row r="270" spans="1:13">
      <c r="A270" s="22" t="s">
        <v>82</v>
      </c>
      <c r="B270" s="9">
        <f t="shared" si="32"/>
        <v>0</v>
      </c>
      <c r="C270" s="4"/>
      <c r="D270" s="4"/>
      <c r="E270" s="9">
        <f t="shared" si="33"/>
        <v>0</v>
      </c>
      <c r="F270" s="4"/>
      <c r="G270" s="9">
        <f t="shared" si="35"/>
        <v>0</v>
      </c>
      <c r="H270" s="4"/>
      <c r="I270" s="9">
        <f t="shared" si="36"/>
        <v>0</v>
      </c>
      <c r="J270" s="4"/>
      <c r="K270" s="4"/>
      <c r="M270" s="16">
        <f t="shared" si="34"/>
        <v>0</v>
      </c>
    </row>
    <row r="271" spans="1:13">
      <c r="A271" s="22" t="s">
        <v>83</v>
      </c>
      <c r="B271" s="9">
        <f t="shared" si="32"/>
        <v>0</v>
      </c>
      <c r="C271" s="4"/>
      <c r="D271" s="4"/>
      <c r="E271" s="9">
        <f t="shared" si="33"/>
        <v>0</v>
      </c>
      <c r="F271" s="4"/>
      <c r="G271" s="9">
        <f t="shared" si="35"/>
        <v>0</v>
      </c>
      <c r="H271" s="4"/>
      <c r="I271" s="9">
        <f t="shared" si="36"/>
        <v>0</v>
      </c>
      <c r="J271" s="4"/>
      <c r="K271" s="4"/>
      <c r="M271" s="16">
        <f t="shared" si="34"/>
        <v>0</v>
      </c>
    </row>
    <row r="272" spans="1:13">
      <c r="A272" s="22"/>
      <c r="B272" s="9"/>
      <c r="C272" s="4"/>
      <c r="D272" s="4"/>
      <c r="E272" s="9">
        <f t="shared" si="33"/>
        <v>0</v>
      </c>
      <c r="F272" s="4"/>
      <c r="G272" s="9"/>
      <c r="H272" s="4"/>
      <c r="I272" s="9"/>
      <c r="J272" s="4"/>
      <c r="K272" s="4"/>
      <c r="M272" s="16">
        <f t="shared" si="34"/>
        <v>0</v>
      </c>
    </row>
    <row r="273" spans="1:13">
      <c r="A273" s="22" t="s">
        <v>84</v>
      </c>
      <c r="B273" s="9">
        <f t="shared" si="32"/>
        <v>0</v>
      </c>
      <c r="C273" s="4"/>
      <c r="D273" s="4"/>
      <c r="E273" s="9">
        <f t="shared" si="33"/>
        <v>0</v>
      </c>
      <c r="F273" s="4"/>
      <c r="G273" s="9">
        <f t="shared" si="35"/>
        <v>0</v>
      </c>
      <c r="H273" s="4"/>
      <c r="I273" s="9">
        <f t="shared" si="36"/>
        <v>0</v>
      </c>
      <c r="J273" s="4"/>
      <c r="K273" s="4"/>
      <c r="M273" s="16">
        <f t="shared" si="34"/>
        <v>0</v>
      </c>
    </row>
    <row r="274" spans="1:13">
      <c r="A274" s="22" t="s">
        <v>85</v>
      </c>
      <c r="B274" s="9">
        <f t="shared" si="32"/>
        <v>0</v>
      </c>
      <c r="C274" s="4"/>
      <c r="D274" s="4"/>
      <c r="E274" s="9">
        <f t="shared" si="33"/>
        <v>0</v>
      </c>
      <c r="F274" s="4"/>
      <c r="G274" s="9">
        <f t="shared" si="35"/>
        <v>0</v>
      </c>
      <c r="H274" s="4"/>
      <c r="I274" s="9">
        <f t="shared" si="36"/>
        <v>0</v>
      </c>
      <c r="J274" s="4"/>
      <c r="K274" s="4"/>
      <c r="M274" s="16">
        <f t="shared" si="34"/>
        <v>0</v>
      </c>
    </row>
    <row r="275" spans="1:13">
      <c r="A275" s="22" t="s">
        <v>86</v>
      </c>
      <c r="B275" s="9">
        <f t="shared" si="32"/>
        <v>0</v>
      </c>
      <c r="C275" s="4"/>
      <c r="D275" s="4"/>
      <c r="E275" s="9">
        <f t="shared" si="33"/>
        <v>0</v>
      </c>
      <c r="F275" s="4"/>
      <c r="G275" s="9">
        <f t="shared" si="35"/>
        <v>0</v>
      </c>
      <c r="H275" s="4"/>
      <c r="I275" s="9">
        <f t="shared" si="36"/>
        <v>0</v>
      </c>
      <c r="J275" s="4"/>
      <c r="K275" s="4"/>
      <c r="M275" s="16">
        <f t="shared" si="34"/>
        <v>0</v>
      </c>
    </row>
    <row r="276" spans="1:13">
      <c r="A276" s="22" t="s">
        <v>62</v>
      </c>
      <c r="B276" s="9">
        <f t="shared" si="32"/>
        <v>0</v>
      </c>
      <c r="C276" s="4"/>
      <c r="D276" s="4"/>
      <c r="E276" s="9">
        <f t="shared" si="33"/>
        <v>0</v>
      </c>
      <c r="F276" s="4"/>
      <c r="G276" s="9">
        <f t="shared" si="35"/>
        <v>0</v>
      </c>
      <c r="H276" s="4"/>
      <c r="I276" s="9">
        <f t="shared" si="36"/>
        <v>0</v>
      </c>
      <c r="J276" s="4"/>
      <c r="K276" s="4"/>
      <c r="M276" s="16">
        <f t="shared" si="34"/>
        <v>0</v>
      </c>
    </row>
    <row r="277" spans="1:13">
      <c r="A277" s="15" t="s">
        <v>87</v>
      </c>
      <c r="B277" s="9">
        <f t="shared" si="32"/>
        <v>2603.2548252229462</v>
      </c>
      <c r="C277" s="9"/>
      <c r="D277" s="9"/>
      <c r="E277" s="9">
        <f t="shared" si="33"/>
        <v>499.06955706888397</v>
      </c>
      <c r="F277" s="9"/>
      <c r="G277" s="9">
        <f t="shared" si="35"/>
        <v>499.06955706888397</v>
      </c>
      <c r="H277" s="9"/>
      <c r="I277" s="9">
        <f t="shared" si="36"/>
        <v>3102.3243822918303</v>
      </c>
      <c r="J277" s="9"/>
      <c r="K277" s="4"/>
      <c r="M277" s="16">
        <f t="shared" si="34"/>
        <v>39.077038008063539</v>
      </c>
    </row>
    <row r="278" spans="1:13">
      <c r="A278" s="14" t="s">
        <v>88</v>
      </c>
      <c r="B278" s="9">
        <f t="shared" si="32"/>
        <v>0</v>
      </c>
      <c r="C278" s="4"/>
      <c r="D278" s="4"/>
      <c r="E278" s="9">
        <f t="shared" si="33"/>
        <v>0</v>
      </c>
      <c r="F278" s="4"/>
      <c r="G278" s="9">
        <f t="shared" si="35"/>
        <v>0</v>
      </c>
      <c r="H278" s="4"/>
      <c r="I278" s="9">
        <f t="shared" si="36"/>
        <v>0</v>
      </c>
      <c r="J278" s="4"/>
      <c r="K278" s="4"/>
      <c r="M278" s="16">
        <f t="shared" si="34"/>
        <v>0</v>
      </c>
    </row>
    <row r="279" spans="1:13">
      <c r="A279" s="14" t="s">
        <v>89</v>
      </c>
      <c r="B279" s="9">
        <f t="shared" si="32"/>
        <v>0</v>
      </c>
      <c r="C279" s="4"/>
      <c r="D279" s="4"/>
      <c r="E279" s="9">
        <f t="shared" si="33"/>
        <v>0</v>
      </c>
      <c r="F279" s="4"/>
      <c r="G279" s="9">
        <f t="shared" si="35"/>
        <v>0</v>
      </c>
      <c r="H279" s="4"/>
      <c r="I279" s="9">
        <f t="shared" si="36"/>
        <v>0</v>
      </c>
      <c r="J279" s="4"/>
      <c r="K279" s="4"/>
      <c r="M279" s="16">
        <f t="shared" si="34"/>
        <v>0</v>
      </c>
    </row>
    <row r="280" spans="1:13">
      <c r="A280" s="22" t="s">
        <v>90</v>
      </c>
      <c r="B280" s="9">
        <f t="shared" si="32"/>
        <v>0</v>
      </c>
      <c r="C280" s="4"/>
      <c r="D280" s="4"/>
      <c r="E280" s="9">
        <f t="shared" si="33"/>
        <v>0</v>
      </c>
      <c r="F280" s="4"/>
      <c r="G280" s="9">
        <f t="shared" si="35"/>
        <v>0</v>
      </c>
      <c r="H280" s="4"/>
      <c r="I280" s="9">
        <f t="shared" si="36"/>
        <v>0</v>
      </c>
      <c r="J280" s="4"/>
      <c r="K280" s="4"/>
      <c r="M280" s="16">
        <f t="shared" si="34"/>
        <v>0</v>
      </c>
    </row>
    <row r="281" spans="1:13">
      <c r="A281" s="22" t="s">
        <v>62</v>
      </c>
      <c r="B281" s="9">
        <f t="shared" si="32"/>
        <v>0</v>
      </c>
      <c r="C281" s="4"/>
      <c r="D281" s="4"/>
      <c r="E281" s="9">
        <f t="shared" si="33"/>
        <v>0</v>
      </c>
      <c r="F281" s="4"/>
      <c r="G281" s="9">
        <f t="shared" si="35"/>
        <v>0</v>
      </c>
      <c r="H281" s="4"/>
      <c r="I281" s="9">
        <f t="shared" si="36"/>
        <v>0</v>
      </c>
      <c r="J281" s="4"/>
      <c r="K281" s="4"/>
      <c r="M281" s="16">
        <f t="shared" si="34"/>
        <v>0</v>
      </c>
    </row>
    <row r="282" spans="1:13">
      <c r="A282" s="23" t="s">
        <v>91</v>
      </c>
      <c r="B282" s="9">
        <f t="shared" si="32"/>
        <v>3.387157576652533</v>
      </c>
      <c r="C282" s="4"/>
      <c r="D282" s="4"/>
      <c r="E282" s="9">
        <f t="shared" si="33"/>
        <v>0.72526649567825541</v>
      </c>
      <c r="F282" s="4"/>
      <c r="G282" s="9">
        <f t="shared" si="35"/>
        <v>0.72526649567825541</v>
      </c>
      <c r="H282" s="4"/>
      <c r="I282" s="9">
        <f t="shared" si="36"/>
        <v>4.1124240723307883</v>
      </c>
      <c r="J282" s="4"/>
      <c r="K282" s="4"/>
      <c r="M282" s="16">
        <f t="shared" si="34"/>
        <v>5.6788209210850427E-2</v>
      </c>
    </row>
    <row r="283" spans="1:13">
      <c r="A283" s="23" t="s">
        <v>92</v>
      </c>
      <c r="B283" s="9">
        <f t="shared" si="32"/>
        <v>3.6032967782821141</v>
      </c>
      <c r="C283" s="4"/>
      <c r="D283" s="4"/>
      <c r="E283" s="9">
        <f t="shared" si="33"/>
        <v>0.69627269550889426</v>
      </c>
      <c r="F283" s="4"/>
      <c r="G283" s="9">
        <f t="shared" si="35"/>
        <v>0.69627269550889426</v>
      </c>
      <c r="H283" s="4"/>
      <c r="I283" s="9">
        <f t="shared" si="36"/>
        <v>4.2995694737910082</v>
      </c>
      <c r="J283" s="4"/>
      <c r="K283" s="4"/>
      <c r="M283" s="16">
        <f t="shared" si="34"/>
        <v>5.451800094996076E-2</v>
      </c>
    </row>
    <row r="284" spans="1:13">
      <c r="A284" s="23" t="s">
        <v>93</v>
      </c>
      <c r="B284" s="9">
        <f t="shared" si="32"/>
        <v>46.240430021234658</v>
      </c>
      <c r="C284" s="4"/>
      <c r="D284" s="4"/>
      <c r="E284" s="9">
        <f t="shared" si="33"/>
        <v>9.2019794737585237</v>
      </c>
      <c r="F284" s="4"/>
      <c r="G284" s="9">
        <f t="shared" si="35"/>
        <v>9.2019794737585237</v>
      </c>
      <c r="H284" s="4"/>
      <c r="I284" s="9">
        <f t="shared" si="36"/>
        <v>55.442409494993186</v>
      </c>
      <c r="J284" s="4"/>
      <c r="K284" s="4"/>
      <c r="M284" s="16">
        <f t="shared" si="34"/>
        <v>0.72051299573828853</v>
      </c>
    </row>
    <row r="285" spans="1:13">
      <c r="A285" s="23" t="s">
        <v>94</v>
      </c>
      <c r="B285" s="9">
        <f t="shared" si="32"/>
        <v>0</v>
      </c>
      <c r="C285" s="4"/>
      <c r="D285" s="4"/>
      <c r="E285" s="9">
        <f t="shared" si="33"/>
        <v>0</v>
      </c>
      <c r="F285" s="4"/>
      <c r="G285" s="9">
        <f t="shared" si="35"/>
        <v>0</v>
      </c>
      <c r="H285" s="4"/>
      <c r="I285" s="9">
        <f t="shared" si="36"/>
        <v>0</v>
      </c>
      <c r="J285" s="4"/>
      <c r="K285" s="4"/>
      <c r="M285" s="16">
        <f t="shared" si="34"/>
        <v>0</v>
      </c>
    </row>
    <row r="286" spans="1:13">
      <c r="A286" s="23" t="s">
        <v>62</v>
      </c>
      <c r="B286" s="9">
        <f t="shared" si="32"/>
        <v>0</v>
      </c>
      <c r="C286" s="4"/>
      <c r="D286" s="4"/>
      <c r="E286" s="9">
        <f t="shared" si="33"/>
        <v>0</v>
      </c>
      <c r="F286" s="4"/>
      <c r="G286" s="9">
        <f t="shared" si="35"/>
        <v>0</v>
      </c>
      <c r="H286" s="4"/>
      <c r="I286" s="9">
        <f t="shared" si="36"/>
        <v>0</v>
      </c>
      <c r="J286" s="4"/>
      <c r="K286" s="4"/>
      <c r="M286" s="16">
        <f t="shared" si="34"/>
        <v>0</v>
      </c>
    </row>
    <row r="287" spans="1:13">
      <c r="A287" s="23" t="s">
        <v>95</v>
      </c>
      <c r="B287" s="9">
        <f t="shared" si="32"/>
        <v>0</v>
      </c>
      <c r="C287" s="4"/>
      <c r="D287" s="4"/>
      <c r="E287" s="9">
        <f t="shared" si="33"/>
        <v>0</v>
      </c>
      <c r="F287" s="4"/>
      <c r="G287" s="9">
        <f t="shared" si="35"/>
        <v>0</v>
      </c>
      <c r="H287" s="4"/>
      <c r="I287" s="9">
        <f t="shared" si="36"/>
        <v>0</v>
      </c>
      <c r="J287" s="4"/>
      <c r="K287" s="4"/>
      <c r="M287" s="16">
        <f t="shared" si="34"/>
        <v>0</v>
      </c>
    </row>
    <row r="288" spans="1:13" ht="19.5" customHeight="1">
      <c r="A288" s="122" t="s">
        <v>105</v>
      </c>
      <c r="B288" s="123">
        <f>SUM(B263:B287)</f>
        <v>6310.9665081784278</v>
      </c>
      <c r="C288" s="123">
        <f>+C263+C264+C265+C266+C267+C268+C277+C282+C283+C284+C285+C286+C287</f>
        <v>0</v>
      </c>
      <c r="D288" s="123"/>
      <c r="E288" s="123">
        <f>+'[1]Summary (Gross)'!$E$36</f>
        <v>1277.142748040169</v>
      </c>
      <c r="F288" s="123">
        <f t="shared" ref="F288:J288" si="37">+F263+F264+F265+F266+F267+F268+F277+F282+F283+F284+F285+F286+F287</f>
        <v>0</v>
      </c>
      <c r="G288" s="123">
        <f t="shared" si="37"/>
        <v>1277.1427480401687</v>
      </c>
      <c r="H288" s="123">
        <f t="shared" si="37"/>
        <v>0</v>
      </c>
      <c r="I288" s="123">
        <f t="shared" si="37"/>
        <v>7588.1092562185977</v>
      </c>
      <c r="J288" s="123">
        <f t="shared" si="37"/>
        <v>0</v>
      </c>
      <c r="K288" s="124"/>
    </row>
    <row r="292" spans="1:13">
      <c r="A292" s="6" t="s">
        <v>436</v>
      </c>
      <c r="H292" t="s">
        <v>365</v>
      </c>
    </row>
    <row r="293" spans="1:13">
      <c r="A293" s="285" t="s">
        <v>74</v>
      </c>
      <c r="B293" s="283" t="s">
        <v>106</v>
      </c>
      <c r="C293" s="283" t="s">
        <v>107</v>
      </c>
      <c r="D293" s="286" t="s">
        <v>98</v>
      </c>
      <c r="E293" s="286"/>
      <c r="F293" s="286"/>
      <c r="G293" s="286"/>
      <c r="H293" s="283" t="s">
        <v>108</v>
      </c>
      <c r="I293" s="283" t="s">
        <v>109</v>
      </c>
      <c r="J293" s="283" t="s">
        <v>110</v>
      </c>
      <c r="K293" s="283" t="s">
        <v>101</v>
      </c>
    </row>
    <row r="294" spans="1:13" ht="48">
      <c r="A294" s="285"/>
      <c r="B294" s="284"/>
      <c r="C294" s="284"/>
      <c r="D294" s="109" t="s">
        <v>111</v>
      </c>
      <c r="E294" s="108" t="s">
        <v>112</v>
      </c>
      <c r="F294" s="108" t="s">
        <v>113</v>
      </c>
      <c r="G294" s="108" t="s">
        <v>96</v>
      </c>
      <c r="H294" s="284"/>
      <c r="I294" s="284"/>
      <c r="J294" s="284"/>
      <c r="K294" s="284"/>
    </row>
    <row r="295" spans="1:13">
      <c r="A295" s="27" t="s">
        <v>75</v>
      </c>
      <c r="B295" s="9">
        <f t="shared" ref="B295:B319" si="38">+I263</f>
        <v>0</v>
      </c>
      <c r="C295" s="4"/>
      <c r="D295" s="4"/>
      <c r="E295" s="9">
        <f>+$E$320*M295/100</f>
        <v>0</v>
      </c>
      <c r="F295" s="4"/>
      <c r="G295" s="9">
        <f>+E295+F295</f>
        <v>0</v>
      </c>
      <c r="H295" s="4"/>
      <c r="I295" s="9">
        <f>+B295+C295+G295-H295</f>
        <v>0</v>
      </c>
      <c r="J295" s="4"/>
      <c r="K295" s="4"/>
      <c r="M295" s="16">
        <f>+M263</f>
        <v>0</v>
      </c>
    </row>
    <row r="296" spans="1:13">
      <c r="A296" s="21" t="s">
        <v>76</v>
      </c>
      <c r="B296" s="9">
        <f t="shared" si="38"/>
        <v>72.971508475993602</v>
      </c>
      <c r="C296" s="4"/>
      <c r="D296" s="4"/>
      <c r="E296" s="9">
        <f t="shared" ref="E296:E319" si="39">+$E$320*M296/100</f>
        <v>14.827394846808684</v>
      </c>
      <c r="F296" s="4"/>
      <c r="G296" s="9">
        <f>+E296+F296</f>
        <v>14.827394846808684</v>
      </c>
      <c r="H296" s="4"/>
      <c r="I296" s="9">
        <f>+B296+C296+G296-H296</f>
        <v>87.798903322802289</v>
      </c>
      <c r="J296" s="4"/>
      <c r="K296" s="4"/>
      <c r="M296" s="16">
        <f t="shared" ref="M296:M319" si="40">+M264</f>
        <v>1.0003089879004419</v>
      </c>
    </row>
    <row r="297" spans="1:13">
      <c r="A297" s="18" t="s">
        <v>77</v>
      </c>
      <c r="B297" s="9">
        <f t="shared" si="38"/>
        <v>0</v>
      </c>
      <c r="C297" s="4"/>
      <c r="D297" s="4"/>
      <c r="E297" s="9">
        <f t="shared" si="39"/>
        <v>0</v>
      </c>
      <c r="F297" s="4"/>
      <c r="G297" s="9">
        <f t="shared" ref="G297:G319" si="41">+E297+F297</f>
        <v>0</v>
      </c>
      <c r="H297" s="4"/>
      <c r="I297" s="9">
        <f t="shared" ref="I297:I319" si="42">+B297+C297+G297-H297</f>
        <v>0</v>
      </c>
      <c r="J297" s="4"/>
      <c r="K297" s="4"/>
      <c r="M297" s="16">
        <f t="shared" si="40"/>
        <v>0</v>
      </c>
    </row>
    <row r="298" spans="1:13">
      <c r="A298" s="18" t="s">
        <v>78</v>
      </c>
      <c r="B298" s="9">
        <f t="shared" si="38"/>
        <v>0</v>
      </c>
      <c r="C298" s="4"/>
      <c r="D298" s="4"/>
      <c r="E298" s="9">
        <f t="shared" si="39"/>
        <v>0</v>
      </c>
      <c r="F298" s="4"/>
      <c r="G298" s="9">
        <f t="shared" si="41"/>
        <v>0</v>
      </c>
      <c r="H298" s="4"/>
      <c r="I298" s="9">
        <f t="shared" si="42"/>
        <v>0</v>
      </c>
      <c r="J298" s="4"/>
      <c r="K298" s="4"/>
      <c r="M298" s="16">
        <f t="shared" si="40"/>
        <v>0</v>
      </c>
    </row>
    <row r="299" spans="1:13">
      <c r="A299" s="18" t="s">
        <v>79</v>
      </c>
      <c r="B299" s="9">
        <f t="shared" si="38"/>
        <v>7.4166782442713215</v>
      </c>
      <c r="C299" s="4"/>
      <c r="D299" s="4"/>
      <c r="E299" s="9">
        <f t="shared" si="39"/>
        <v>1.0608147959574099</v>
      </c>
      <c r="F299" s="4"/>
      <c r="G299" s="9">
        <f t="shared" si="41"/>
        <v>1.0608147959574099</v>
      </c>
      <c r="H299" s="4"/>
      <c r="I299" s="9">
        <f t="shared" si="42"/>
        <v>8.4774930402287314</v>
      </c>
      <c r="J299" s="4"/>
      <c r="K299" s="4"/>
      <c r="M299" s="16">
        <f t="shared" si="40"/>
        <v>7.156635308206967E-2</v>
      </c>
    </row>
    <row r="300" spans="1:13">
      <c r="A300" s="15" t="s">
        <v>80</v>
      </c>
      <c r="B300" s="9">
        <f t="shared" si="38"/>
        <v>4341.5422841653863</v>
      </c>
      <c r="C300" s="9"/>
      <c r="D300" s="9"/>
      <c r="E300" s="9">
        <f t="shared" si="39"/>
        <v>874.83166957640731</v>
      </c>
      <c r="F300" s="9"/>
      <c r="G300" s="9">
        <f t="shared" si="41"/>
        <v>874.83166957640731</v>
      </c>
      <c r="H300" s="9"/>
      <c r="I300" s="9">
        <f t="shared" si="42"/>
        <v>5216.3739537417932</v>
      </c>
      <c r="J300" s="9"/>
      <c r="K300" s="9"/>
      <c r="M300" s="16">
        <f t="shared" si="40"/>
        <v>59.019267445054844</v>
      </c>
    </row>
    <row r="301" spans="1:13">
      <c r="A301" s="22" t="s">
        <v>81</v>
      </c>
      <c r="B301" s="9">
        <f t="shared" si="38"/>
        <v>0</v>
      </c>
      <c r="C301" s="4"/>
      <c r="D301" s="4"/>
      <c r="E301" s="9">
        <f t="shared" si="39"/>
        <v>0</v>
      </c>
      <c r="F301" s="4"/>
      <c r="G301" s="9">
        <f t="shared" si="41"/>
        <v>0</v>
      </c>
      <c r="H301" s="4"/>
      <c r="I301" s="9">
        <f t="shared" si="42"/>
        <v>0</v>
      </c>
      <c r="J301" s="4"/>
      <c r="K301" s="4"/>
      <c r="M301" s="16">
        <f t="shared" si="40"/>
        <v>0</v>
      </c>
    </row>
    <row r="302" spans="1:13">
      <c r="A302" s="22" t="s">
        <v>82</v>
      </c>
      <c r="B302" s="9">
        <f t="shared" si="38"/>
        <v>0</v>
      </c>
      <c r="C302" s="4"/>
      <c r="D302" s="4"/>
      <c r="E302" s="9">
        <f t="shared" si="39"/>
        <v>0</v>
      </c>
      <c r="F302" s="4"/>
      <c r="G302" s="9">
        <f t="shared" si="41"/>
        <v>0</v>
      </c>
      <c r="H302" s="4"/>
      <c r="I302" s="9">
        <f t="shared" si="42"/>
        <v>0</v>
      </c>
      <c r="J302" s="4"/>
      <c r="K302" s="4"/>
      <c r="M302" s="16">
        <f t="shared" si="40"/>
        <v>0</v>
      </c>
    </row>
    <row r="303" spans="1:13">
      <c r="A303" s="22" t="s">
        <v>83</v>
      </c>
      <c r="B303" s="9">
        <f t="shared" si="38"/>
        <v>0</v>
      </c>
      <c r="C303" s="4"/>
      <c r="D303" s="4"/>
      <c r="E303" s="9">
        <f t="shared" si="39"/>
        <v>0</v>
      </c>
      <c r="F303" s="4"/>
      <c r="G303" s="9">
        <f t="shared" si="41"/>
        <v>0</v>
      </c>
      <c r="H303" s="4"/>
      <c r="I303" s="9">
        <f t="shared" si="42"/>
        <v>0</v>
      </c>
      <c r="J303" s="4"/>
      <c r="K303" s="4"/>
      <c r="M303" s="16">
        <f t="shared" si="40"/>
        <v>0</v>
      </c>
    </row>
    <row r="304" spans="1:13">
      <c r="A304" s="22"/>
      <c r="B304" s="9"/>
      <c r="C304" s="4"/>
      <c r="D304" s="4"/>
      <c r="E304" s="9">
        <f t="shared" si="39"/>
        <v>0</v>
      </c>
      <c r="F304" s="4"/>
      <c r="G304" s="9"/>
      <c r="H304" s="4"/>
      <c r="I304" s="9"/>
      <c r="J304" s="4"/>
      <c r="K304" s="4"/>
      <c r="M304" s="16">
        <f t="shared" si="40"/>
        <v>0</v>
      </c>
    </row>
    <row r="305" spans="1:13">
      <c r="A305" s="22" t="s">
        <v>84</v>
      </c>
      <c r="B305" s="9">
        <f t="shared" si="38"/>
        <v>0</v>
      </c>
      <c r="C305" s="4"/>
      <c r="D305" s="4"/>
      <c r="E305" s="9">
        <f t="shared" si="39"/>
        <v>0</v>
      </c>
      <c r="F305" s="4"/>
      <c r="G305" s="9">
        <f t="shared" si="41"/>
        <v>0</v>
      </c>
      <c r="H305" s="4"/>
      <c r="I305" s="9">
        <f t="shared" si="42"/>
        <v>0</v>
      </c>
      <c r="J305" s="4"/>
      <c r="K305" s="4"/>
      <c r="M305" s="16">
        <f t="shared" si="40"/>
        <v>0</v>
      </c>
    </row>
    <row r="306" spans="1:13">
      <c r="A306" s="22" t="s">
        <v>85</v>
      </c>
      <c r="B306" s="9">
        <f t="shared" si="38"/>
        <v>0</v>
      </c>
      <c r="C306" s="4"/>
      <c r="D306" s="4"/>
      <c r="E306" s="9">
        <f t="shared" si="39"/>
        <v>0</v>
      </c>
      <c r="F306" s="4"/>
      <c r="G306" s="9">
        <f t="shared" si="41"/>
        <v>0</v>
      </c>
      <c r="H306" s="4"/>
      <c r="I306" s="9">
        <f t="shared" si="42"/>
        <v>0</v>
      </c>
      <c r="J306" s="4"/>
      <c r="K306" s="4"/>
      <c r="M306" s="16">
        <f t="shared" si="40"/>
        <v>0</v>
      </c>
    </row>
    <row r="307" spans="1:13">
      <c r="A307" s="22" t="s">
        <v>86</v>
      </c>
      <c r="B307" s="9">
        <f t="shared" si="38"/>
        <v>0</v>
      </c>
      <c r="C307" s="4"/>
      <c r="D307" s="4"/>
      <c r="E307" s="9">
        <f t="shared" si="39"/>
        <v>0</v>
      </c>
      <c r="F307" s="4"/>
      <c r="G307" s="9">
        <f t="shared" si="41"/>
        <v>0</v>
      </c>
      <c r="H307" s="4"/>
      <c r="I307" s="9">
        <f t="shared" si="42"/>
        <v>0</v>
      </c>
      <c r="J307" s="4"/>
      <c r="K307" s="4"/>
      <c r="M307" s="16">
        <f t="shared" si="40"/>
        <v>0</v>
      </c>
    </row>
    <row r="308" spans="1:13">
      <c r="A308" s="22" t="s">
        <v>62</v>
      </c>
      <c r="B308" s="9">
        <f t="shared" si="38"/>
        <v>0</v>
      </c>
      <c r="C308" s="4"/>
      <c r="D308" s="4"/>
      <c r="E308" s="9">
        <f t="shared" si="39"/>
        <v>0</v>
      </c>
      <c r="F308" s="4"/>
      <c r="G308" s="9">
        <f t="shared" si="41"/>
        <v>0</v>
      </c>
      <c r="H308" s="4"/>
      <c r="I308" s="9">
        <f t="shared" si="42"/>
        <v>0</v>
      </c>
      <c r="J308" s="4"/>
      <c r="K308" s="4"/>
      <c r="M308" s="16">
        <f t="shared" si="40"/>
        <v>0</v>
      </c>
    </row>
    <row r="309" spans="1:13">
      <c r="A309" s="15" t="s">
        <v>87</v>
      </c>
      <c r="B309" s="9">
        <f t="shared" si="38"/>
        <v>3102.3243822918303</v>
      </c>
      <c r="C309" s="9"/>
      <c r="D309" s="9"/>
      <c r="E309" s="9">
        <f t="shared" si="39"/>
        <v>579.2316964035673</v>
      </c>
      <c r="F309" s="9"/>
      <c r="G309" s="9">
        <f t="shared" si="41"/>
        <v>579.2316964035673</v>
      </c>
      <c r="H309" s="9"/>
      <c r="I309" s="9">
        <f t="shared" si="42"/>
        <v>3681.5560786953974</v>
      </c>
      <c r="J309" s="9"/>
      <c r="K309" s="4"/>
      <c r="M309" s="16">
        <f t="shared" si="40"/>
        <v>39.077038008063539</v>
      </c>
    </row>
    <row r="310" spans="1:13">
      <c r="A310" s="14" t="s">
        <v>88</v>
      </c>
      <c r="B310" s="9">
        <f t="shared" si="38"/>
        <v>0</v>
      </c>
      <c r="C310" s="4"/>
      <c r="D310" s="4"/>
      <c r="E310" s="9">
        <f t="shared" si="39"/>
        <v>0</v>
      </c>
      <c r="F310" s="4"/>
      <c r="G310" s="9">
        <f t="shared" si="41"/>
        <v>0</v>
      </c>
      <c r="H310" s="4"/>
      <c r="I310" s="9">
        <f t="shared" si="42"/>
        <v>0</v>
      </c>
      <c r="J310" s="4"/>
      <c r="K310" s="4"/>
      <c r="M310" s="16">
        <f t="shared" si="40"/>
        <v>0</v>
      </c>
    </row>
    <row r="311" spans="1:13">
      <c r="A311" s="14" t="s">
        <v>89</v>
      </c>
      <c r="B311" s="9">
        <f t="shared" si="38"/>
        <v>0</v>
      </c>
      <c r="C311" s="4"/>
      <c r="D311" s="4"/>
      <c r="E311" s="9">
        <f t="shared" si="39"/>
        <v>0</v>
      </c>
      <c r="F311" s="4"/>
      <c r="G311" s="9">
        <f t="shared" si="41"/>
        <v>0</v>
      </c>
      <c r="H311" s="4"/>
      <c r="I311" s="9">
        <f t="shared" si="42"/>
        <v>0</v>
      </c>
      <c r="J311" s="4"/>
      <c r="K311" s="4"/>
      <c r="M311" s="16">
        <f t="shared" si="40"/>
        <v>0</v>
      </c>
    </row>
    <row r="312" spans="1:13">
      <c r="A312" s="22" t="s">
        <v>90</v>
      </c>
      <c r="B312" s="9">
        <f t="shared" si="38"/>
        <v>0</v>
      </c>
      <c r="C312" s="4"/>
      <c r="D312" s="4"/>
      <c r="E312" s="9">
        <f t="shared" si="39"/>
        <v>0</v>
      </c>
      <c r="F312" s="4"/>
      <c r="G312" s="9">
        <f t="shared" si="41"/>
        <v>0</v>
      </c>
      <c r="H312" s="4"/>
      <c r="I312" s="9">
        <f t="shared" si="42"/>
        <v>0</v>
      </c>
      <c r="J312" s="4"/>
      <c r="K312" s="4"/>
      <c r="M312" s="16">
        <f t="shared" si="40"/>
        <v>0</v>
      </c>
    </row>
    <row r="313" spans="1:13">
      <c r="A313" s="22" t="s">
        <v>62</v>
      </c>
      <c r="B313" s="9">
        <f t="shared" si="38"/>
        <v>0</v>
      </c>
      <c r="C313" s="4"/>
      <c r="D313" s="4"/>
      <c r="E313" s="9">
        <f t="shared" si="39"/>
        <v>0</v>
      </c>
      <c r="F313" s="4"/>
      <c r="G313" s="9">
        <f t="shared" si="41"/>
        <v>0</v>
      </c>
      <c r="H313" s="4"/>
      <c r="I313" s="9">
        <f t="shared" si="42"/>
        <v>0</v>
      </c>
      <c r="J313" s="4"/>
      <c r="K313" s="4"/>
      <c r="M313" s="16">
        <f t="shared" si="40"/>
        <v>0</v>
      </c>
    </row>
    <row r="314" spans="1:13">
      <c r="A314" s="23" t="s">
        <v>91</v>
      </c>
      <c r="B314" s="9">
        <f t="shared" si="38"/>
        <v>4.1124240723307883</v>
      </c>
      <c r="C314" s="4"/>
      <c r="D314" s="4"/>
      <c r="E314" s="9">
        <f t="shared" si="39"/>
        <v>0.84176110661545034</v>
      </c>
      <c r="F314" s="4"/>
      <c r="G314" s="9">
        <f t="shared" si="41"/>
        <v>0.84176110661545034</v>
      </c>
      <c r="H314" s="4"/>
      <c r="I314" s="9">
        <f t="shared" si="42"/>
        <v>4.954185178946239</v>
      </c>
      <c r="J314" s="4"/>
      <c r="K314" s="4"/>
      <c r="M314" s="16">
        <f t="shared" si="40"/>
        <v>5.6788209210850427E-2</v>
      </c>
    </row>
    <row r="315" spans="1:13">
      <c r="A315" s="23" t="s">
        <v>92</v>
      </c>
      <c r="B315" s="9">
        <f t="shared" si="38"/>
        <v>4.2995694737910082</v>
      </c>
      <c r="C315" s="4"/>
      <c r="D315" s="4"/>
      <c r="E315" s="9">
        <f t="shared" si="39"/>
        <v>0.80811023006044724</v>
      </c>
      <c r="F315" s="4"/>
      <c r="G315" s="9">
        <f t="shared" si="41"/>
        <v>0.80811023006044724</v>
      </c>
      <c r="H315" s="4"/>
      <c r="I315" s="9">
        <f t="shared" si="42"/>
        <v>5.1076797038514554</v>
      </c>
      <c r="J315" s="4"/>
      <c r="K315" s="4"/>
      <c r="M315" s="16">
        <f t="shared" si="40"/>
        <v>5.451800094996076E-2</v>
      </c>
    </row>
    <row r="316" spans="1:13">
      <c r="A316" s="23" t="s">
        <v>93</v>
      </c>
      <c r="B316" s="9">
        <f t="shared" si="38"/>
        <v>55.442409494993186</v>
      </c>
      <c r="C316" s="4"/>
      <c r="D316" s="4"/>
      <c r="E316" s="9">
        <f t="shared" si="39"/>
        <v>10.680030679812178</v>
      </c>
      <c r="F316" s="4"/>
      <c r="G316" s="9">
        <f t="shared" si="41"/>
        <v>10.680030679812178</v>
      </c>
      <c r="H316" s="4"/>
      <c r="I316" s="9">
        <f t="shared" si="42"/>
        <v>66.122440174805362</v>
      </c>
      <c r="J316" s="4"/>
      <c r="K316" s="4"/>
      <c r="M316" s="16">
        <f t="shared" si="40"/>
        <v>0.72051299573828853</v>
      </c>
    </row>
    <row r="317" spans="1:13">
      <c r="A317" s="23" t="s">
        <v>94</v>
      </c>
      <c r="B317" s="9">
        <f t="shared" si="38"/>
        <v>0</v>
      </c>
      <c r="C317" s="4"/>
      <c r="D317" s="4"/>
      <c r="E317" s="9">
        <f t="shared" si="39"/>
        <v>0</v>
      </c>
      <c r="F317" s="4"/>
      <c r="G317" s="9">
        <f t="shared" si="41"/>
        <v>0</v>
      </c>
      <c r="H317" s="4"/>
      <c r="I317" s="9">
        <f t="shared" si="42"/>
        <v>0</v>
      </c>
      <c r="J317" s="4"/>
      <c r="K317" s="4"/>
      <c r="M317" s="16">
        <f t="shared" si="40"/>
        <v>0</v>
      </c>
    </row>
    <row r="318" spans="1:13">
      <c r="A318" s="23" t="s">
        <v>62</v>
      </c>
      <c r="B318" s="9">
        <f t="shared" si="38"/>
        <v>0</v>
      </c>
      <c r="C318" s="4"/>
      <c r="D318" s="4"/>
      <c r="E318" s="9">
        <f t="shared" si="39"/>
        <v>0</v>
      </c>
      <c r="F318" s="4"/>
      <c r="G318" s="9">
        <f t="shared" si="41"/>
        <v>0</v>
      </c>
      <c r="H318" s="4"/>
      <c r="I318" s="9">
        <f t="shared" si="42"/>
        <v>0</v>
      </c>
      <c r="J318" s="4"/>
      <c r="K318" s="4"/>
      <c r="M318" s="16">
        <f t="shared" si="40"/>
        <v>0</v>
      </c>
    </row>
    <row r="319" spans="1:13">
      <c r="A319" s="23" t="s">
        <v>95</v>
      </c>
      <c r="B319" s="9">
        <f t="shared" si="38"/>
        <v>0</v>
      </c>
      <c r="C319" s="4"/>
      <c r="D319" s="4"/>
      <c r="E319" s="9">
        <f t="shared" si="39"/>
        <v>0</v>
      </c>
      <c r="F319" s="4"/>
      <c r="G319" s="9">
        <f t="shared" si="41"/>
        <v>0</v>
      </c>
      <c r="H319" s="4"/>
      <c r="I319" s="9">
        <f t="shared" si="42"/>
        <v>0</v>
      </c>
      <c r="J319" s="4"/>
      <c r="K319" s="4"/>
      <c r="M319" s="16">
        <f t="shared" si="40"/>
        <v>0</v>
      </c>
    </row>
    <row r="320" spans="1:13" ht="19.5" customHeight="1">
      <c r="A320" s="122" t="s">
        <v>105</v>
      </c>
      <c r="B320" s="123">
        <f>SUM(B295:B319)</f>
        <v>7588.1092562185977</v>
      </c>
      <c r="C320" s="123">
        <f>+C295+C296+C297+C298+C299+C300+C309+C314+C315+C316+C317+C318+C319</f>
        <v>0</v>
      </c>
      <c r="D320" s="123"/>
      <c r="E320" s="123">
        <f>+'[1]Summary (Gross)'!$F$36</f>
        <v>1482.2814776392288</v>
      </c>
      <c r="F320" s="123">
        <f>+F295+F296+F297+F298+F299+F300+F309+F314+F315+F316+F317+F318+F319</f>
        <v>0</v>
      </c>
      <c r="G320" s="123">
        <f>+G295+G296+G297+G298+G299+G300+G309+G314+G315+G316+G317+G318+G319</f>
        <v>1482.2814776392288</v>
      </c>
      <c r="H320" s="123">
        <f>+H295+H296+H297+H298+H299+H300+H309+H314+H315+H316+H317+H318+H319</f>
        <v>0</v>
      </c>
      <c r="I320" s="123">
        <f>+I295+I296+I297+I298+I299+I300+I309+I314+I315+I316+I317+I318+I319</f>
        <v>9070.3907338578247</v>
      </c>
      <c r="J320" s="123">
        <f>+J295+J296+J297+J298+J299+J300+J309+J314+J315+J316+J317+J318+J319</f>
        <v>0</v>
      </c>
      <c r="K320" s="124"/>
    </row>
    <row r="324" spans="1:13">
      <c r="A324" s="6" t="s">
        <v>437</v>
      </c>
      <c r="H324" t="s">
        <v>365</v>
      </c>
    </row>
    <row r="325" spans="1:13">
      <c r="A325" s="285" t="s">
        <v>74</v>
      </c>
      <c r="B325" s="283" t="s">
        <v>106</v>
      </c>
      <c r="C325" s="283" t="s">
        <v>107</v>
      </c>
      <c r="D325" s="286" t="s">
        <v>98</v>
      </c>
      <c r="E325" s="286"/>
      <c r="F325" s="286"/>
      <c r="G325" s="286"/>
      <c r="H325" s="283" t="s">
        <v>108</v>
      </c>
      <c r="I325" s="283" t="s">
        <v>109</v>
      </c>
      <c r="J325" s="283" t="s">
        <v>110</v>
      </c>
      <c r="K325" s="283" t="s">
        <v>101</v>
      </c>
    </row>
    <row r="326" spans="1:13" ht="48">
      <c r="A326" s="285"/>
      <c r="B326" s="284"/>
      <c r="C326" s="284"/>
      <c r="D326" s="109" t="s">
        <v>111</v>
      </c>
      <c r="E326" s="108" t="s">
        <v>112</v>
      </c>
      <c r="F326" s="108" t="s">
        <v>113</v>
      </c>
      <c r="G326" s="108" t="s">
        <v>96</v>
      </c>
      <c r="H326" s="284"/>
      <c r="I326" s="284"/>
      <c r="J326" s="284"/>
      <c r="K326" s="284"/>
    </row>
    <row r="327" spans="1:13">
      <c r="A327" s="27" t="s">
        <v>75</v>
      </c>
      <c r="B327" s="9">
        <f t="shared" ref="B327:B351" si="43">+I295</f>
        <v>0</v>
      </c>
      <c r="C327" s="4"/>
      <c r="D327" s="4"/>
      <c r="E327" s="9">
        <f>+$E$352*M327/100</f>
        <v>0</v>
      </c>
      <c r="F327" s="4"/>
      <c r="G327" s="9">
        <f>+E327+F327</f>
        <v>0</v>
      </c>
      <c r="H327" s="4"/>
      <c r="I327" s="9">
        <f>+B327+C327+G327-H327</f>
        <v>0</v>
      </c>
      <c r="J327" s="4"/>
      <c r="K327" s="4"/>
      <c r="M327" s="16">
        <f>+M295</f>
        <v>0</v>
      </c>
    </row>
    <row r="328" spans="1:13">
      <c r="A328" s="21" t="s">
        <v>76</v>
      </c>
      <c r="B328" s="9">
        <f t="shared" si="43"/>
        <v>87.798903322802289</v>
      </c>
      <c r="C328" s="4"/>
      <c r="D328" s="4"/>
      <c r="E328" s="9">
        <f t="shared" ref="E328:E351" si="44">+$E$352*M328/100</f>
        <v>16.668746002865479</v>
      </c>
      <c r="F328" s="4"/>
      <c r="G328" s="9">
        <f>+E328+F328</f>
        <v>16.668746002865479</v>
      </c>
      <c r="H328" s="4"/>
      <c r="I328" s="9">
        <f>+B328+C328+G328-H328</f>
        <v>104.46764932566776</v>
      </c>
      <c r="J328" s="4"/>
      <c r="K328" s="4"/>
      <c r="M328" s="16">
        <f t="shared" ref="M328:M351" si="45">+M296</f>
        <v>1.0003089879004419</v>
      </c>
    </row>
    <row r="329" spans="1:13">
      <c r="A329" s="18" t="s">
        <v>77</v>
      </c>
      <c r="B329" s="9">
        <f t="shared" si="43"/>
        <v>0</v>
      </c>
      <c r="C329" s="4"/>
      <c r="D329" s="4"/>
      <c r="E329" s="9">
        <f t="shared" si="44"/>
        <v>0</v>
      </c>
      <c r="F329" s="4"/>
      <c r="G329" s="9">
        <f t="shared" ref="G329:G351" si="46">+E329+F329</f>
        <v>0</v>
      </c>
      <c r="H329" s="4"/>
      <c r="I329" s="9">
        <f t="shared" ref="I329:I351" si="47">+B329+C329+G329-H329</f>
        <v>0</v>
      </c>
      <c r="J329" s="4"/>
      <c r="K329" s="4"/>
      <c r="M329" s="16">
        <f t="shared" si="45"/>
        <v>0</v>
      </c>
    </row>
    <row r="330" spans="1:13">
      <c r="A330" s="18" t="s">
        <v>78</v>
      </c>
      <c r="B330" s="9">
        <f t="shared" si="43"/>
        <v>0</v>
      </c>
      <c r="C330" s="4"/>
      <c r="D330" s="4"/>
      <c r="E330" s="9">
        <f t="shared" si="44"/>
        <v>0</v>
      </c>
      <c r="F330" s="4"/>
      <c r="G330" s="9">
        <f t="shared" si="46"/>
        <v>0</v>
      </c>
      <c r="H330" s="4"/>
      <c r="I330" s="9">
        <f t="shared" si="47"/>
        <v>0</v>
      </c>
      <c r="J330" s="4"/>
      <c r="K330" s="4"/>
      <c r="M330" s="16">
        <f t="shared" si="45"/>
        <v>0</v>
      </c>
    </row>
    <row r="331" spans="1:13">
      <c r="A331" s="18" t="s">
        <v>79</v>
      </c>
      <c r="B331" s="9">
        <f t="shared" si="43"/>
        <v>8.4774930402287314</v>
      </c>
      <c r="C331" s="4"/>
      <c r="D331" s="4"/>
      <c r="E331" s="9">
        <f t="shared" si="44"/>
        <v>1.1925528774666339</v>
      </c>
      <c r="F331" s="4"/>
      <c r="G331" s="9">
        <f t="shared" si="46"/>
        <v>1.1925528774666339</v>
      </c>
      <c r="H331" s="4"/>
      <c r="I331" s="9">
        <f t="shared" si="47"/>
        <v>9.670045917695365</v>
      </c>
      <c r="J331" s="4"/>
      <c r="K331" s="4"/>
      <c r="M331" s="16">
        <f t="shared" si="45"/>
        <v>7.156635308206967E-2</v>
      </c>
    </row>
    <row r="332" spans="1:13">
      <c r="A332" s="15" t="s">
        <v>80</v>
      </c>
      <c r="B332" s="9">
        <f t="shared" si="43"/>
        <v>5216.3739537417932</v>
      </c>
      <c r="C332" s="9"/>
      <c r="D332" s="9"/>
      <c r="E332" s="9">
        <f t="shared" si="44"/>
        <v>983.47329696763586</v>
      </c>
      <c r="F332" s="9"/>
      <c r="G332" s="9">
        <f t="shared" si="46"/>
        <v>983.47329696763586</v>
      </c>
      <c r="H332" s="9"/>
      <c r="I332" s="9">
        <f t="shared" si="47"/>
        <v>6199.8472507094293</v>
      </c>
      <c r="J332" s="9"/>
      <c r="K332" s="9"/>
      <c r="M332" s="16">
        <f t="shared" si="45"/>
        <v>59.019267445054844</v>
      </c>
    </row>
    <row r="333" spans="1:13">
      <c r="A333" s="22" t="s">
        <v>81</v>
      </c>
      <c r="B333" s="9">
        <f t="shared" si="43"/>
        <v>0</v>
      </c>
      <c r="C333" s="4"/>
      <c r="D333" s="4"/>
      <c r="E333" s="9">
        <f t="shared" si="44"/>
        <v>0</v>
      </c>
      <c r="F333" s="4"/>
      <c r="G333" s="9">
        <f t="shared" si="46"/>
        <v>0</v>
      </c>
      <c r="H333" s="4"/>
      <c r="I333" s="9">
        <f t="shared" si="47"/>
        <v>0</v>
      </c>
      <c r="J333" s="4"/>
      <c r="K333" s="4"/>
      <c r="M333" s="16">
        <f t="shared" si="45"/>
        <v>0</v>
      </c>
    </row>
    <row r="334" spans="1:13">
      <c r="A334" s="22" t="s">
        <v>82</v>
      </c>
      <c r="B334" s="9">
        <f t="shared" si="43"/>
        <v>0</v>
      </c>
      <c r="C334" s="4"/>
      <c r="D334" s="4"/>
      <c r="E334" s="9">
        <f t="shared" si="44"/>
        <v>0</v>
      </c>
      <c r="F334" s="4"/>
      <c r="G334" s="9">
        <f t="shared" si="46"/>
        <v>0</v>
      </c>
      <c r="H334" s="4"/>
      <c r="I334" s="9">
        <f t="shared" si="47"/>
        <v>0</v>
      </c>
      <c r="J334" s="4"/>
      <c r="K334" s="4"/>
      <c r="M334" s="16">
        <f t="shared" si="45"/>
        <v>0</v>
      </c>
    </row>
    <row r="335" spans="1:13">
      <c r="A335" s="22" t="s">
        <v>83</v>
      </c>
      <c r="B335" s="9">
        <f t="shared" si="43"/>
        <v>0</v>
      </c>
      <c r="C335" s="4"/>
      <c r="D335" s="4"/>
      <c r="E335" s="9">
        <f t="shared" si="44"/>
        <v>0</v>
      </c>
      <c r="F335" s="4"/>
      <c r="G335" s="9">
        <f t="shared" si="46"/>
        <v>0</v>
      </c>
      <c r="H335" s="4"/>
      <c r="I335" s="9">
        <f t="shared" si="47"/>
        <v>0</v>
      </c>
      <c r="J335" s="4"/>
      <c r="K335" s="4"/>
      <c r="M335" s="16">
        <f t="shared" si="45"/>
        <v>0</v>
      </c>
    </row>
    <row r="336" spans="1:13">
      <c r="A336" s="22"/>
      <c r="B336" s="9"/>
      <c r="C336" s="4"/>
      <c r="D336" s="4"/>
      <c r="E336" s="9">
        <f t="shared" si="44"/>
        <v>0</v>
      </c>
      <c r="F336" s="4"/>
      <c r="G336" s="9"/>
      <c r="H336" s="4"/>
      <c r="I336" s="9"/>
      <c r="J336" s="4"/>
      <c r="K336" s="4"/>
      <c r="M336" s="16">
        <f t="shared" si="45"/>
        <v>0</v>
      </c>
    </row>
    <row r="337" spans="1:13">
      <c r="A337" s="22" t="s">
        <v>84</v>
      </c>
      <c r="B337" s="9">
        <f t="shared" si="43"/>
        <v>0</v>
      </c>
      <c r="C337" s="4"/>
      <c r="D337" s="4"/>
      <c r="E337" s="9">
        <f t="shared" si="44"/>
        <v>0</v>
      </c>
      <c r="F337" s="4"/>
      <c r="G337" s="9">
        <f t="shared" si="46"/>
        <v>0</v>
      </c>
      <c r="H337" s="4"/>
      <c r="I337" s="9">
        <f t="shared" si="47"/>
        <v>0</v>
      </c>
      <c r="J337" s="4"/>
      <c r="K337" s="4"/>
      <c r="M337" s="16">
        <f t="shared" si="45"/>
        <v>0</v>
      </c>
    </row>
    <row r="338" spans="1:13">
      <c r="A338" s="22" t="s">
        <v>85</v>
      </c>
      <c r="B338" s="9">
        <f t="shared" si="43"/>
        <v>0</v>
      </c>
      <c r="C338" s="4"/>
      <c r="D338" s="4"/>
      <c r="E338" s="9">
        <f t="shared" si="44"/>
        <v>0</v>
      </c>
      <c r="F338" s="4"/>
      <c r="G338" s="9">
        <f t="shared" si="46"/>
        <v>0</v>
      </c>
      <c r="H338" s="4"/>
      <c r="I338" s="9">
        <f t="shared" si="47"/>
        <v>0</v>
      </c>
      <c r="J338" s="4"/>
      <c r="K338" s="4"/>
      <c r="M338" s="16">
        <f t="shared" si="45"/>
        <v>0</v>
      </c>
    </row>
    <row r="339" spans="1:13">
      <c r="A339" s="22" t="s">
        <v>86</v>
      </c>
      <c r="B339" s="9">
        <f t="shared" si="43"/>
        <v>0</v>
      </c>
      <c r="C339" s="4"/>
      <c r="D339" s="4"/>
      <c r="E339" s="9">
        <f t="shared" si="44"/>
        <v>0</v>
      </c>
      <c r="F339" s="4"/>
      <c r="G339" s="9">
        <f t="shared" si="46"/>
        <v>0</v>
      </c>
      <c r="H339" s="4"/>
      <c r="I339" s="9">
        <f t="shared" si="47"/>
        <v>0</v>
      </c>
      <c r="J339" s="4"/>
      <c r="K339" s="4"/>
      <c r="M339" s="16">
        <f t="shared" si="45"/>
        <v>0</v>
      </c>
    </row>
    <row r="340" spans="1:13">
      <c r="A340" s="22" t="s">
        <v>62</v>
      </c>
      <c r="B340" s="9">
        <f t="shared" si="43"/>
        <v>0</v>
      </c>
      <c r="C340" s="4"/>
      <c r="D340" s="4"/>
      <c r="E340" s="9">
        <f t="shared" si="44"/>
        <v>0</v>
      </c>
      <c r="F340" s="4"/>
      <c r="G340" s="9">
        <f t="shared" si="46"/>
        <v>0</v>
      </c>
      <c r="H340" s="4"/>
      <c r="I340" s="9">
        <f t="shared" si="47"/>
        <v>0</v>
      </c>
      <c r="J340" s="4"/>
      <c r="K340" s="4"/>
      <c r="M340" s="16">
        <f t="shared" si="45"/>
        <v>0</v>
      </c>
    </row>
    <row r="341" spans="1:13">
      <c r="A341" s="15" t="s">
        <v>87</v>
      </c>
      <c r="B341" s="9">
        <f t="shared" si="43"/>
        <v>3681.5560786953974</v>
      </c>
      <c r="C341" s="9"/>
      <c r="D341" s="9"/>
      <c r="E341" s="9">
        <f t="shared" si="44"/>
        <v>651.16401929756535</v>
      </c>
      <c r="F341" s="9"/>
      <c r="G341" s="9">
        <f t="shared" si="46"/>
        <v>651.16401929756535</v>
      </c>
      <c r="H341" s="9"/>
      <c r="I341" s="9">
        <f t="shared" si="47"/>
        <v>4332.720097992963</v>
      </c>
      <c r="J341" s="9"/>
      <c r="K341" s="4"/>
      <c r="M341" s="16">
        <f t="shared" si="45"/>
        <v>39.077038008063539</v>
      </c>
    </row>
    <row r="342" spans="1:13">
      <c r="A342" s="14" t="s">
        <v>88</v>
      </c>
      <c r="B342" s="9">
        <f t="shared" si="43"/>
        <v>0</v>
      </c>
      <c r="C342" s="4"/>
      <c r="D342" s="4"/>
      <c r="E342" s="9">
        <f t="shared" si="44"/>
        <v>0</v>
      </c>
      <c r="F342" s="4"/>
      <c r="G342" s="9">
        <f t="shared" si="46"/>
        <v>0</v>
      </c>
      <c r="H342" s="4"/>
      <c r="I342" s="9">
        <f t="shared" si="47"/>
        <v>0</v>
      </c>
      <c r="J342" s="4"/>
      <c r="K342" s="4"/>
      <c r="M342" s="16">
        <f t="shared" si="45"/>
        <v>0</v>
      </c>
    </row>
    <row r="343" spans="1:13">
      <c r="A343" s="14" t="s">
        <v>89</v>
      </c>
      <c r="B343" s="9">
        <f t="shared" si="43"/>
        <v>0</v>
      </c>
      <c r="C343" s="4"/>
      <c r="D343" s="4"/>
      <c r="E343" s="9">
        <f t="shared" si="44"/>
        <v>0</v>
      </c>
      <c r="F343" s="4"/>
      <c r="G343" s="9">
        <f t="shared" si="46"/>
        <v>0</v>
      </c>
      <c r="H343" s="4"/>
      <c r="I343" s="9">
        <f t="shared" si="47"/>
        <v>0</v>
      </c>
      <c r="J343" s="4"/>
      <c r="K343" s="4"/>
      <c r="M343" s="16">
        <f t="shared" si="45"/>
        <v>0</v>
      </c>
    </row>
    <row r="344" spans="1:13">
      <c r="A344" s="22" t="s">
        <v>90</v>
      </c>
      <c r="B344" s="9">
        <f t="shared" si="43"/>
        <v>0</v>
      </c>
      <c r="C344" s="4"/>
      <c r="D344" s="4"/>
      <c r="E344" s="9">
        <f t="shared" si="44"/>
        <v>0</v>
      </c>
      <c r="F344" s="4"/>
      <c r="G344" s="9">
        <f t="shared" si="46"/>
        <v>0</v>
      </c>
      <c r="H344" s="4"/>
      <c r="I344" s="9">
        <f t="shared" si="47"/>
        <v>0</v>
      </c>
      <c r="J344" s="4"/>
      <c r="K344" s="4"/>
      <c r="M344" s="16">
        <f t="shared" si="45"/>
        <v>0</v>
      </c>
    </row>
    <row r="345" spans="1:13">
      <c r="A345" s="22" t="s">
        <v>62</v>
      </c>
      <c r="B345" s="9">
        <f t="shared" si="43"/>
        <v>0</v>
      </c>
      <c r="C345" s="4"/>
      <c r="D345" s="4"/>
      <c r="E345" s="9">
        <f t="shared" si="44"/>
        <v>0</v>
      </c>
      <c r="F345" s="4"/>
      <c r="G345" s="9">
        <f t="shared" si="46"/>
        <v>0</v>
      </c>
      <c r="H345" s="4"/>
      <c r="I345" s="9">
        <f t="shared" si="47"/>
        <v>0</v>
      </c>
      <c r="J345" s="4"/>
      <c r="K345" s="4"/>
      <c r="M345" s="16">
        <f t="shared" si="45"/>
        <v>0</v>
      </c>
    </row>
    <row r="346" spans="1:13">
      <c r="A346" s="23" t="s">
        <v>91</v>
      </c>
      <c r="B346" s="9">
        <f t="shared" si="43"/>
        <v>4.954185178946239</v>
      </c>
      <c r="C346" s="4"/>
      <c r="D346" s="4"/>
      <c r="E346" s="9">
        <f t="shared" si="44"/>
        <v>0.94629584132804268</v>
      </c>
      <c r="F346" s="4"/>
      <c r="G346" s="9">
        <f t="shared" si="46"/>
        <v>0.94629584132804268</v>
      </c>
      <c r="H346" s="4"/>
      <c r="I346" s="9">
        <f t="shared" si="47"/>
        <v>5.9004810202742819</v>
      </c>
      <c r="J346" s="4"/>
      <c r="K346" s="4"/>
      <c r="M346" s="16">
        <f t="shared" si="45"/>
        <v>5.6788209210850427E-2</v>
      </c>
    </row>
    <row r="347" spans="1:13">
      <c r="A347" s="23" t="s">
        <v>92</v>
      </c>
      <c r="B347" s="9">
        <f t="shared" si="43"/>
        <v>5.1076797038514554</v>
      </c>
      <c r="C347" s="4"/>
      <c r="D347" s="4"/>
      <c r="E347" s="9">
        <f t="shared" si="44"/>
        <v>0.9084660054152387</v>
      </c>
      <c r="F347" s="4"/>
      <c r="G347" s="9">
        <f t="shared" si="46"/>
        <v>0.9084660054152387</v>
      </c>
      <c r="H347" s="4"/>
      <c r="I347" s="9">
        <f t="shared" si="47"/>
        <v>6.0161457092666941</v>
      </c>
      <c r="J347" s="4"/>
      <c r="K347" s="4"/>
      <c r="M347" s="16">
        <f t="shared" si="45"/>
        <v>5.451800094996076E-2</v>
      </c>
    </row>
    <row r="348" spans="1:13">
      <c r="A348" s="23" t="s">
        <v>93</v>
      </c>
      <c r="B348" s="9">
        <f t="shared" si="43"/>
        <v>66.122440174805362</v>
      </c>
      <c r="C348" s="4"/>
      <c r="D348" s="4"/>
      <c r="E348" s="9">
        <f t="shared" si="44"/>
        <v>12.006338304460536</v>
      </c>
      <c r="F348" s="4"/>
      <c r="G348" s="9">
        <f t="shared" si="46"/>
        <v>12.006338304460536</v>
      </c>
      <c r="H348" s="4"/>
      <c r="I348" s="9">
        <f t="shared" si="47"/>
        <v>78.128778479265904</v>
      </c>
      <c r="J348" s="4"/>
      <c r="K348" s="4"/>
      <c r="M348" s="16">
        <f t="shared" si="45"/>
        <v>0.72051299573828853</v>
      </c>
    </row>
    <row r="349" spans="1:13">
      <c r="A349" s="23" t="s">
        <v>94</v>
      </c>
      <c r="B349" s="9">
        <f t="shared" si="43"/>
        <v>0</v>
      </c>
      <c r="C349" s="4"/>
      <c r="D349" s="4"/>
      <c r="E349" s="9">
        <f t="shared" si="44"/>
        <v>0</v>
      </c>
      <c r="F349" s="4"/>
      <c r="G349" s="9">
        <f t="shared" si="46"/>
        <v>0</v>
      </c>
      <c r="H349" s="4"/>
      <c r="I349" s="9">
        <f t="shared" si="47"/>
        <v>0</v>
      </c>
      <c r="J349" s="4"/>
      <c r="K349" s="4"/>
      <c r="M349" s="16">
        <f t="shared" si="45"/>
        <v>0</v>
      </c>
    </row>
    <row r="350" spans="1:13">
      <c r="A350" s="23" t="s">
        <v>62</v>
      </c>
      <c r="B350" s="9">
        <f t="shared" si="43"/>
        <v>0</v>
      </c>
      <c r="C350" s="4"/>
      <c r="D350" s="4"/>
      <c r="E350" s="9">
        <f t="shared" si="44"/>
        <v>0</v>
      </c>
      <c r="F350" s="4"/>
      <c r="G350" s="9">
        <f t="shared" si="46"/>
        <v>0</v>
      </c>
      <c r="H350" s="4"/>
      <c r="I350" s="9">
        <f t="shared" si="47"/>
        <v>0</v>
      </c>
      <c r="J350" s="4"/>
      <c r="K350" s="4"/>
      <c r="M350" s="16">
        <f t="shared" si="45"/>
        <v>0</v>
      </c>
    </row>
    <row r="351" spans="1:13">
      <c r="A351" s="23" t="s">
        <v>95</v>
      </c>
      <c r="B351" s="9">
        <f t="shared" si="43"/>
        <v>0</v>
      </c>
      <c r="C351" s="4"/>
      <c r="D351" s="4"/>
      <c r="E351" s="9">
        <f t="shared" si="44"/>
        <v>0</v>
      </c>
      <c r="F351" s="4"/>
      <c r="G351" s="9">
        <f t="shared" si="46"/>
        <v>0</v>
      </c>
      <c r="H351" s="4"/>
      <c r="I351" s="9">
        <f t="shared" si="47"/>
        <v>0</v>
      </c>
      <c r="J351" s="4"/>
      <c r="K351" s="4"/>
      <c r="M351" s="16">
        <f t="shared" si="45"/>
        <v>0</v>
      </c>
    </row>
    <row r="352" spans="1:13" ht="19.5" customHeight="1">
      <c r="A352" s="122" t="s">
        <v>105</v>
      </c>
      <c r="B352" s="123">
        <f>SUM(B327:B351)</f>
        <v>9070.3907338578247</v>
      </c>
      <c r="C352" s="123">
        <f t="shared" ref="C352:J352" si="48">+C327+C328+C329+C330+C331+C332+C341+C346+C347+C348+C349+C350+C351</f>
        <v>0</v>
      </c>
      <c r="D352" s="123"/>
      <c r="E352" s="123">
        <f>+'[1]Summary (Gross)'!$G$36</f>
        <v>1666.3597152967372</v>
      </c>
      <c r="F352" s="123">
        <f t="shared" si="48"/>
        <v>0</v>
      </c>
      <c r="G352" s="123">
        <f t="shared" si="48"/>
        <v>1666.359715296737</v>
      </c>
      <c r="H352" s="123">
        <f t="shared" si="48"/>
        <v>0</v>
      </c>
      <c r="I352" s="123">
        <f t="shared" si="48"/>
        <v>10736.750449154564</v>
      </c>
      <c r="J352" s="123">
        <f t="shared" si="48"/>
        <v>0</v>
      </c>
      <c r="K352" s="124"/>
    </row>
  </sheetData>
  <mergeCells count="88">
    <mergeCell ref="H5:H6"/>
    <mergeCell ref="I5:I6"/>
    <mergeCell ref="J5:J6"/>
    <mergeCell ref="K5:K6"/>
    <mergeCell ref="A5:A6"/>
    <mergeCell ref="B5:B6"/>
    <mergeCell ref="C5:C6"/>
    <mergeCell ref="D5:G5"/>
    <mergeCell ref="H37:H38"/>
    <mergeCell ref="I37:I38"/>
    <mergeCell ref="J37:J38"/>
    <mergeCell ref="K37:K38"/>
    <mergeCell ref="A37:A38"/>
    <mergeCell ref="B37:B38"/>
    <mergeCell ref="C37:C38"/>
    <mergeCell ref="D37:G37"/>
    <mergeCell ref="H69:H70"/>
    <mergeCell ref="I69:I70"/>
    <mergeCell ref="J69:J70"/>
    <mergeCell ref="K69:K70"/>
    <mergeCell ref="A69:A70"/>
    <mergeCell ref="B69:B70"/>
    <mergeCell ref="C69:C70"/>
    <mergeCell ref="D69:G69"/>
    <mergeCell ref="H101:H102"/>
    <mergeCell ref="I101:I102"/>
    <mergeCell ref="J101:J102"/>
    <mergeCell ref="K101:K102"/>
    <mergeCell ref="A101:A102"/>
    <mergeCell ref="B101:B102"/>
    <mergeCell ref="C101:C102"/>
    <mergeCell ref="D101:G101"/>
    <mergeCell ref="H133:H134"/>
    <mergeCell ref="I133:I134"/>
    <mergeCell ref="J133:J134"/>
    <mergeCell ref="K133:K134"/>
    <mergeCell ref="A133:A134"/>
    <mergeCell ref="B133:B134"/>
    <mergeCell ref="C133:C134"/>
    <mergeCell ref="D133:G133"/>
    <mergeCell ref="H165:H166"/>
    <mergeCell ref="I165:I166"/>
    <mergeCell ref="J165:J166"/>
    <mergeCell ref="K165:K166"/>
    <mergeCell ref="A165:A166"/>
    <mergeCell ref="B165:B166"/>
    <mergeCell ref="C165:C166"/>
    <mergeCell ref="D165:G165"/>
    <mergeCell ref="H197:H198"/>
    <mergeCell ref="I197:I198"/>
    <mergeCell ref="J197:J198"/>
    <mergeCell ref="K197:K198"/>
    <mergeCell ref="A197:A198"/>
    <mergeCell ref="B197:B198"/>
    <mergeCell ref="C197:C198"/>
    <mergeCell ref="D197:G197"/>
    <mergeCell ref="H229:H230"/>
    <mergeCell ref="I229:I230"/>
    <mergeCell ref="J229:J230"/>
    <mergeCell ref="K229:K230"/>
    <mergeCell ref="A229:A230"/>
    <mergeCell ref="B229:B230"/>
    <mergeCell ref="C229:C230"/>
    <mergeCell ref="D229:G229"/>
    <mergeCell ref="H261:H262"/>
    <mergeCell ref="I261:I262"/>
    <mergeCell ref="J261:J262"/>
    <mergeCell ref="K261:K262"/>
    <mergeCell ref="A261:A262"/>
    <mergeCell ref="B261:B262"/>
    <mergeCell ref="C261:C262"/>
    <mergeCell ref="D261:G261"/>
    <mergeCell ref="H293:H294"/>
    <mergeCell ref="I293:I294"/>
    <mergeCell ref="J293:J294"/>
    <mergeCell ref="K293:K294"/>
    <mergeCell ref="A293:A294"/>
    <mergeCell ref="B293:B294"/>
    <mergeCell ref="C293:C294"/>
    <mergeCell ref="D293:G293"/>
    <mergeCell ref="J325:J326"/>
    <mergeCell ref="K325:K326"/>
    <mergeCell ref="A325:A326"/>
    <mergeCell ref="B325:B326"/>
    <mergeCell ref="C325:C326"/>
    <mergeCell ref="D325:G325"/>
    <mergeCell ref="H325:H326"/>
    <mergeCell ref="I325:I326"/>
  </mergeCells>
  <phoneticPr fontId="3" type="noConversion"/>
  <dataValidations count="1">
    <dataValidation type="decimal" allowBlank="1" showInputMessage="1" showErrorMessage="1" error="Enter in number format only" sqref="B5:D6 E326:G326 H325:J326 B325:D326 E294:G294 H293:J294 B293:D294 E262:G262 H261:J262 B261:D262 E230:G230 H229:J230 B229:D230 E198:G198 H197:J198 B197:D198 E166:G166 H165:J166 B165:D166 E134:G134 H133:J134 B133:D134 E102:G102 H101:J102 B101:D102 E70:G70 H69:J70 B69:D70 E38:G38 H37:J38 B37:D38 E6:G6 H5:J6">
      <formula1>-1000000000000000</formula1>
      <formula2>100000000000000000</formula2>
    </dataValidation>
  </dataValidations>
  <printOptions horizontalCentered="1"/>
  <pageMargins left="0.28000000000000003" right="0.27" top="0.72" bottom="1" header="0.32" footer="0.5"/>
  <pageSetup scale="90" orientation="landscape" r:id="rId1"/>
  <headerFooter alignWithMargins="0"/>
  <rowBreaks count="10" manualBreakCount="10">
    <brk id="32" max="10" man="1"/>
    <brk id="64" max="10" man="1"/>
    <brk id="96" max="10" man="1"/>
    <brk id="128" max="10" man="1"/>
    <brk id="160" max="10" man="1"/>
    <brk id="192" max="10" man="1"/>
    <brk id="224" max="10" man="1"/>
    <brk id="256" max="10" man="1"/>
    <brk id="288" max="10" man="1"/>
    <brk id="320" max="10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dimension ref="A2:M36"/>
  <sheetViews>
    <sheetView showGridLines="0" view="pageBreakPreview" topLeftCell="A5" zoomScaleSheetLayoutView="100" workbookViewId="0">
      <selection activeCell="M15" sqref="M15"/>
    </sheetView>
  </sheetViews>
  <sheetFormatPr defaultRowHeight="12.75"/>
  <cols>
    <col min="1" max="1" width="31.85546875" customWidth="1"/>
    <col min="2" max="2" width="6.7109375" hidden="1" customWidth="1"/>
    <col min="3" max="3" width="7.7109375" hidden="1" customWidth="1"/>
    <col min="4" max="7" width="10.28515625" hidden="1" customWidth="1"/>
    <col min="8" max="8" width="11.85546875" bestFit="1" customWidth="1"/>
    <col min="9" max="13" width="11.140625" customWidth="1"/>
  </cols>
  <sheetData>
    <row r="2" spans="1:13">
      <c r="A2" s="19" t="s">
        <v>114</v>
      </c>
    </row>
    <row r="3" spans="1:13">
      <c r="A3" s="30" t="s">
        <v>115</v>
      </c>
    </row>
    <row r="4" spans="1:13">
      <c r="A4" s="19"/>
    </row>
    <row r="5" spans="1:13">
      <c r="A5" s="7"/>
      <c r="J5" s="279" t="s">
        <v>365</v>
      </c>
      <c r="K5" s="279"/>
    </row>
    <row r="6" spans="1:13" ht="27.75" customHeight="1">
      <c r="A6" s="107" t="s">
        <v>0</v>
      </c>
      <c r="B6" s="102" t="s">
        <v>12</v>
      </c>
      <c r="C6" s="103" t="s">
        <v>17</v>
      </c>
      <c r="D6" s="103" t="s">
        <v>18</v>
      </c>
      <c r="E6" s="103" t="s">
        <v>19</v>
      </c>
      <c r="F6" s="103" t="s">
        <v>20</v>
      </c>
      <c r="G6" s="103" t="s">
        <v>21</v>
      </c>
      <c r="H6" s="164" t="s">
        <v>432</v>
      </c>
      <c r="I6" s="103" t="s">
        <v>433</v>
      </c>
      <c r="J6" s="103" t="s">
        <v>434</v>
      </c>
      <c r="K6" s="103" t="s">
        <v>435</v>
      </c>
      <c r="L6" s="103" t="s">
        <v>436</v>
      </c>
      <c r="M6" s="103" t="s">
        <v>437</v>
      </c>
    </row>
    <row r="7" spans="1:13" s="62" customFormat="1" ht="24" customHeight="1">
      <c r="A7" s="130" t="s">
        <v>116</v>
      </c>
      <c r="B7" s="61"/>
      <c r="C7" s="173"/>
      <c r="D7" s="136">
        <f>1614.77+32.15</f>
        <v>1646.92</v>
      </c>
      <c r="E7" s="136">
        <f t="shared" ref="E7" si="0">+D15</f>
        <v>2269.0500000000002</v>
      </c>
      <c r="F7" s="136">
        <f t="shared" ref="F7" si="1">+E15</f>
        <v>2022.1000000000001</v>
      </c>
      <c r="G7" s="136">
        <f t="shared" ref="G7" si="2">+F15</f>
        <v>2757.42</v>
      </c>
      <c r="H7" s="136">
        <f t="shared" ref="H7" si="3">+G15</f>
        <v>3759.9000000000005</v>
      </c>
      <c r="I7" s="136">
        <f t="shared" ref="I7" si="4">+H15</f>
        <v>3709.7400000000007</v>
      </c>
      <c r="J7" s="136">
        <f t="shared" ref="J7" si="5">+I15</f>
        <v>4405.1493896622251</v>
      </c>
      <c r="K7" s="136">
        <f t="shared" ref="K7" si="6">+J15</f>
        <v>6405.0560266172652</v>
      </c>
      <c r="L7" s="136">
        <f t="shared" ref="L7" si="7">+K15</f>
        <v>3423.1201622164444</v>
      </c>
      <c r="M7" s="136">
        <f t="shared" ref="M7" si="8">+L15</f>
        <v>4322.3072262819851</v>
      </c>
    </row>
    <row r="8" spans="1:13" s="62" customFormat="1" ht="24" customHeight="1">
      <c r="A8" s="130" t="s">
        <v>117</v>
      </c>
      <c r="B8" s="61"/>
      <c r="C8" s="127"/>
      <c r="D8" s="127">
        <f>2269.05-1114.01</f>
        <v>1155.0400000000002</v>
      </c>
      <c r="E8" s="127">
        <f>2025.15-515.04-3.12</f>
        <v>1506.9900000000002</v>
      </c>
      <c r="F8" s="127">
        <f>2759.74-482.07-0.57-4.58</f>
        <v>2272.5199999999995</v>
      </c>
      <c r="G8" s="127">
        <f>3759.9-1042.37-0.34-0.47</f>
        <v>2716.7200000000003</v>
      </c>
      <c r="H8" s="127">
        <f>3709.74-483.6</f>
        <v>3226.14</v>
      </c>
      <c r="I8" s="127">
        <f>+[2]Consolidated!D7</f>
        <v>3031.52</v>
      </c>
      <c r="J8" s="127">
        <f>+[2]Consolidated!E7</f>
        <v>3557.29</v>
      </c>
      <c r="K8" s="127">
        <f>+[2]Consolidated!F7</f>
        <v>2754.39</v>
      </c>
      <c r="L8" s="127">
        <f>+[2]Consolidated!G7</f>
        <v>1366.99</v>
      </c>
      <c r="M8" s="127">
        <f>+[2]Consolidated!H7</f>
        <v>1087.5899999999999</v>
      </c>
    </row>
    <row r="9" spans="1:13" s="62" customFormat="1" ht="24" customHeight="1">
      <c r="A9" s="181" t="s">
        <v>455</v>
      </c>
      <c r="B9" s="61"/>
      <c r="C9" s="173"/>
      <c r="D9" s="173"/>
      <c r="E9" s="173"/>
      <c r="F9" s="173"/>
      <c r="G9" s="173"/>
      <c r="H9" s="173"/>
      <c r="I9" s="173"/>
      <c r="J9" s="173"/>
      <c r="K9" s="173"/>
      <c r="L9" s="173"/>
      <c r="M9" s="173"/>
    </row>
    <row r="10" spans="1:13" s="62" customFormat="1" ht="19.5" customHeight="1">
      <c r="A10" s="183" t="s">
        <v>376</v>
      </c>
      <c r="B10" s="61"/>
      <c r="C10" s="127"/>
      <c r="D10" s="127">
        <f>+'1.1d'!Y40</f>
        <v>91.4</v>
      </c>
      <c r="E10" s="127">
        <v>117.05</v>
      </c>
      <c r="F10" s="127">
        <v>136.4</v>
      </c>
      <c r="G10" s="127">
        <v>197.12</v>
      </c>
      <c r="H10" s="127">
        <f>+[2]Consolidated!C10</f>
        <v>203.6</v>
      </c>
      <c r="I10" s="127">
        <f>+[2]Consolidated!D10</f>
        <v>369.26943472222217</v>
      </c>
      <c r="J10" s="127">
        <f>+[2]Consolidated!E10</f>
        <v>277.93954069444447</v>
      </c>
      <c r="K10" s="127">
        <f>+[2]Consolidated!F10</f>
        <v>220.27275111111109</v>
      </c>
      <c r="L10" s="127">
        <f>+[2]Consolidated!G10</f>
        <v>141.69173791666668</v>
      </c>
      <c r="M10" s="127">
        <f>+[2]Consolidated!H10</f>
        <v>133.34090152777779</v>
      </c>
    </row>
    <row r="11" spans="1:13" s="62" customFormat="1" ht="19.5" customHeight="1">
      <c r="A11" s="184" t="s">
        <v>456</v>
      </c>
      <c r="B11" s="61"/>
      <c r="C11" s="127"/>
      <c r="D11" s="127">
        <f>0.06+59.1+6.02</f>
        <v>65.180000000000007</v>
      </c>
      <c r="E11" s="127">
        <v>76.39</v>
      </c>
      <c r="F11" s="127">
        <v>115.61</v>
      </c>
      <c r="G11" s="127">
        <f>0.56+6.55+63.72+0.01</f>
        <v>70.84</v>
      </c>
      <c r="H11" s="127">
        <v>109.9</v>
      </c>
      <c r="I11" s="127">
        <f>+[2]Assumptions!D9</f>
        <v>120.87900000000002</v>
      </c>
      <c r="J11" s="127">
        <f>+[2]Assumptions!E9</f>
        <v>132.96690000000001</v>
      </c>
      <c r="K11" s="127">
        <f>+[2]Assumptions!F9</f>
        <v>146.26359000000002</v>
      </c>
      <c r="L11" s="127">
        <f>+[2]Assumptions!G9</f>
        <v>160.88994900000003</v>
      </c>
      <c r="M11" s="127">
        <f>+[2]Assumptions!H9</f>
        <v>176.97894390000002</v>
      </c>
    </row>
    <row r="12" spans="1:13" s="62" customFormat="1" ht="24" customHeight="1">
      <c r="A12" s="145" t="s">
        <v>364</v>
      </c>
      <c r="B12" s="61"/>
      <c r="C12" s="160">
        <f>+C10+C11</f>
        <v>0</v>
      </c>
      <c r="D12" s="136">
        <f>+D10+D11</f>
        <v>156.58000000000001</v>
      </c>
      <c r="E12" s="136">
        <f t="shared" ref="E12:M12" si="9">+E10+E11</f>
        <v>193.44</v>
      </c>
      <c r="F12" s="136">
        <f t="shared" si="9"/>
        <v>252.01</v>
      </c>
      <c r="G12" s="136">
        <f t="shared" si="9"/>
        <v>267.96000000000004</v>
      </c>
      <c r="H12" s="136">
        <f t="shared" si="9"/>
        <v>313.5</v>
      </c>
      <c r="I12" s="136">
        <f t="shared" si="9"/>
        <v>490.14843472222219</v>
      </c>
      <c r="J12" s="136">
        <f t="shared" si="9"/>
        <v>410.90644069444448</v>
      </c>
      <c r="K12" s="136">
        <f t="shared" si="9"/>
        <v>366.53634111111114</v>
      </c>
      <c r="L12" s="136">
        <f t="shared" si="9"/>
        <v>302.58168691666674</v>
      </c>
      <c r="M12" s="136">
        <f t="shared" si="9"/>
        <v>310.31984542777781</v>
      </c>
    </row>
    <row r="13" spans="1:13" s="171" customFormat="1" ht="24" customHeight="1">
      <c r="A13" s="130" t="s">
        <v>454</v>
      </c>
      <c r="B13" s="130"/>
      <c r="C13" s="182"/>
      <c r="D13" s="136">
        <f>+'1.1a(GFA)'!D64+'1.1a(GFA)'!E64</f>
        <v>689.49</v>
      </c>
      <c r="E13" s="136">
        <f>+'1.1a(GFA)'!D96+'1.1a(GFA)'!E96</f>
        <v>1947.3800000000003</v>
      </c>
      <c r="F13" s="136">
        <f>+'1.1a(GFA)'!D128+'1.1a(GFA)'!E128</f>
        <v>1789.21</v>
      </c>
      <c r="G13" s="136">
        <f>+'1.1a(GFA)'!D160+'1.1a(GFA)'!E160</f>
        <v>1982.2</v>
      </c>
      <c r="H13" s="136">
        <v>3589.8</v>
      </c>
      <c r="I13" s="136">
        <f>+[2]Consolidated!D14</f>
        <v>2826.2590450599978</v>
      </c>
      <c r="J13" s="136">
        <f>+[2]Consolidated!E14</f>
        <v>1968.2898037394039</v>
      </c>
      <c r="K13" s="136">
        <f>+[2]Consolidated!F14</f>
        <v>6102.8622055119304</v>
      </c>
      <c r="L13" s="136">
        <f>+[2]Consolidated!G14</f>
        <v>770.38462285112541</v>
      </c>
      <c r="M13" s="136">
        <f>+[2]Consolidated!H14</f>
        <v>5376.1249933907729</v>
      </c>
    </row>
    <row r="14" spans="1:13" s="62" customFormat="1" ht="6" customHeight="1">
      <c r="A14" s="181"/>
      <c r="B14" s="61"/>
      <c r="C14" s="162"/>
      <c r="D14" s="173"/>
      <c r="E14" s="173"/>
      <c r="F14" s="173"/>
      <c r="G14" s="173"/>
      <c r="H14" s="173"/>
      <c r="I14" s="173"/>
      <c r="J14" s="173"/>
      <c r="K14" s="173"/>
      <c r="L14" s="173"/>
      <c r="M14" s="173"/>
    </row>
    <row r="15" spans="1:13" s="62" customFormat="1" ht="24" customHeight="1">
      <c r="A15" s="33" t="s">
        <v>118</v>
      </c>
      <c r="B15" s="61"/>
      <c r="C15" s="160">
        <f>+C7+C8+C12-C13+C14</f>
        <v>0</v>
      </c>
      <c r="D15" s="136">
        <f>+D7+D8+D12-D13+D14</f>
        <v>2269.0500000000002</v>
      </c>
      <c r="E15" s="136">
        <f>+E7+E8+E12-E13+E14</f>
        <v>2022.1000000000001</v>
      </c>
      <c r="F15" s="136">
        <f>+F7+F8+F12-F13+F14</f>
        <v>2757.42</v>
      </c>
      <c r="G15" s="136">
        <f>+G7+G8+G12-G13+G14</f>
        <v>3759.9000000000005</v>
      </c>
      <c r="H15" s="136">
        <f>+H7+H8+H12-H13</f>
        <v>3709.7400000000007</v>
      </c>
      <c r="I15" s="136">
        <f t="shared" ref="I15:M15" si="10">+I7+I8+I12-I13</f>
        <v>4405.1493896622251</v>
      </c>
      <c r="J15" s="136">
        <f t="shared" si="10"/>
        <v>6405.0560266172652</v>
      </c>
      <c r="K15" s="136">
        <f t="shared" si="10"/>
        <v>3423.1201622164444</v>
      </c>
      <c r="L15" s="136">
        <f t="shared" si="10"/>
        <v>4322.3072262819851</v>
      </c>
      <c r="M15" s="136">
        <f t="shared" si="10"/>
        <v>344.09207831899039</v>
      </c>
    </row>
    <row r="16" spans="1:13">
      <c r="A16" s="72"/>
    </row>
    <row r="17" spans="1:13">
      <c r="I17" s="16"/>
      <c r="J17" s="16"/>
      <c r="K17" s="16"/>
      <c r="L17" s="16"/>
      <c r="M17" s="16"/>
    </row>
    <row r="19" spans="1:13">
      <c r="A19" s="10"/>
      <c r="B19" s="10"/>
      <c r="C19" s="10"/>
      <c r="D19" s="10"/>
      <c r="E19" s="10"/>
      <c r="F19" s="10"/>
      <c r="G19" s="6"/>
      <c r="H19" s="6"/>
      <c r="I19" s="10"/>
      <c r="J19" s="10"/>
      <c r="K19" s="10"/>
      <c r="L19" s="10"/>
      <c r="M19" s="10"/>
    </row>
    <row r="20" spans="1:13">
      <c r="H20" s="16"/>
    </row>
    <row r="21" spans="1:13">
      <c r="A21" s="72"/>
      <c r="I21" s="16"/>
    </row>
    <row r="22" spans="1:13">
      <c r="G22" s="16"/>
    </row>
    <row r="23" spans="1:13">
      <c r="D23" s="16"/>
      <c r="E23" s="16"/>
      <c r="F23" s="16"/>
      <c r="G23" s="16"/>
      <c r="H23" s="16"/>
    </row>
    <row r="24" spans="1:13">
      <c r="A24" s="10"/>
      <c r="D24" s="10"/>
      <c r="E24" s="10"/>
      <c r="F24" s="10"/>
      <c r="G24" s="10"/>
      <c r="H24" s="10"/>
    </row>
    <row r="25" spans="1:13">
      <c r="H25" s="16"/>
    </row>
    <row r="26" spans="1:13">
      <c r="E26" s="16"/>
      <c r="F26" s="16"/>
      <c r="G26" s="16"/>
      <c r="J26" s="16"/>
      <c r="K26" s="16"/>
      <c r="L26" s="16"/>
      <c r="M26" s="16"/>
    </row>
    <row r="27" spans="1:13">
      <c r="H27" s="16"/>
      <c r="I27" s="16"/>
      <c r="J27" s="16"/>
      <c r="K27" s="16"/>
      <c r="L27" s="16"/>
      <c r="M27" s="16"/>
    </row>
    <row r="28" spans="1:13">
      <c r="C28" s="16"/>
      <c r="H28" s="16"/>
      <c r="I28" s="16"/>
      <c r="J28" s="16"/>
      <c r="K28" s="16"/>
      <c r="L28" s="16"/>
      <c r="M28" s="16"/>
    </row>
    <row r="29" spans="1:13">
      <c r="C29" s="16"/>
      <c r="G29" s="16"/>
      <c r="H29" s="16"/>
      <c r="I29" s="16"/>
      <c r="J29" s="16"/>
      <c r="K29" s="16"/>
      <c r="L29" s="16"/>
      <c r="M29" s="16"/>
    </row>
    <row r="30" spans="1:13">
      <c r="G30" s="16"/>
    </row>
    <row r="31" spans="1:13">
      <c r="C31" s="16"/>
      <c r="H31" s="16"/>
      <c r="I31" s="16"/>
      <c r="J31" s="16"/>
      <c r="K31" s="16"/>
      <c r="L31" s="16"/>
      <c r="M31" s="16"/>
    </row>
    <row r="32" spans="1:13">
      <c r="C32" s="16"/>
      <c r="G32" s="16"/>
    </row>
    <row r="33" spans="3:13">
      <c r="C33" s="16"/>
    </row>
    <row r="36" spans="3:13">
      <c r="H36" s="16"/>
      <c r="I36" s="16"/>
      <c r="J36" s="16"/>
      <c r="K36" s="16"/>
      <c r="L36" s="16"/>
      <c r="M36" s="16"/>
    </row>
  </sheetData>
  <mergeCells count="1">
    <mergeCell ref="J5:K5"/>
  </mergeCells>
  <phoneticPr fontId="3" type="noConversion"/>
  <dataValidations disablePrompts="1" count="1">
    <dataValidation type="decimal" allowBlank="1" showInputMessage="1" showErrorMessage="1" error="Enter in number format only" sqref="B6">
      <formula1>-1000000000000000</formula1>
      <formula2>100000000000000000</formula2>
    </dataValidation>
  </dataValidations>
  <printOptions horizontalCentered="1"/>
  <pageMargins left="0.42" right="0.33" top="1" bottom="1" header="0.5" footer="0.5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28</vt:i4>
      </vt:variant>
      <vt:variant>
        <vt:lpstr>Named Ranges</vt:lpstr>
      </vt:variant>
      <vt:variant>
        <vt:i4>25</vt:i4>
      </vt:variant>
    </vt:vector>
  </HeadingPairs>
  <TitlesOfParts>
    <vt:vector size="53" baseType="lpstr">
      <vt:lpstr>I</vt:lpstr>
      <vt:lpstr>1.0</vt:lpstr>
      <vt:lpstr>1a(RRB)</vt:lpstr>
      <vt:lpstr>1b</vt:lpstr>
      <vt:lpstr>1c (Rev.)</vt:lpstr>
      <vt:lpstr>1.1(i) (BS)</vt:lpstr>
      <vt:lpstr>1.1a(GFA)</vt:lpstr>
      <vt:lpstr>1.1b (Dep)</vt:lpstr>
      <vt:lpstr>1.1c(CWIP)</vt:lpstr>
      <vt:lpstr>1.1d</vt:lpstr>
      <vt:lpstr>1.1e</vt:lpstr>
      <vt:lpstr>1.1g(Loan)</vt:lpstr>
      <vt:lpstr>1.1g(i)</vt:lpstr>
      <vt:lpstr>1.1h(FL)</vt:lpstr>
      <vt:lpstr>1.1j(CA)</vt:lpstr>
      <vt:lpstr>1.1k(CL)</vt:lpstr>
      <vt:lpstr>1.1m(cap)</vt:lpstr>
      <vt:lpstr>1.1n(Res.)</vt:lpstr>
      <vt:lpstr>1.2 (CFS)</vt:lpstr>
      <vt:lpstr>1.3a((O&amp;M)</vt:lpstr>
      <vt:lpstr>1.3(i)</vt:lpstr>
      <vt:lpstr>1.3i</vt:lpstr>
      <vt:lpstr>7(Cont.)</vt:lpstr>
      <vt:lpstr>8</vt:lpstr>
      <vt:lpstr>9</vt:lpstr>
      <vt:lpstr>10 (NTI)</vt:lpstr>
      <vt:lpstr>O&amp;M</vt:lpstr>
      <vt:lpstr>3.3</vt:lpstr>
      <vt:lpstr>'1.0'!Print_Area</vt:lpstr>
      <vt:lpstr>'1.1(i) (BS)'!Print_Area</vt:lpstr>
      <vt:lpstr>'1.1a(GFA)'!Print_Area</vt:lpstr>
      <vt:lpstr>'1.1b (Dep)'!Print_Area</vt:lpstr>
      <vt:lpstr>'1.1c(CWIP)'!Print_Area</vt:lpstr>
      <vt:lpstr>'1.1e'!Print_Area</vt:lpstr>
      <vt:lpstr>'1.1g(i)'!Print_Area</vt:lpstr>
      <vt:lpstr>'1.1g(Loan)'!Print_Area</vt:lpstr>
      <vt:lpstr>'1.1j(CA)'!Print_Area</vt:lpstr>
      <vt:lpstr>'1.1k(CL)'!Print_Area</vt:lpstr>
      <vt:lpstr>'1.1m(cap)'!Print_Area</vt:lpstr>
      <vt:lpstr>'1.1n(Res.)'!Print_Area</vt:lpstr>
      <vt:lpstr>'1.2 (CFS)'!Print_Area</vt:lpstr>
      <vt:lpstr>'1.3(i)'!Print_Area</vt:lpstr>
      <vt:lpstr>'1.3a((O&amp;M)'!Print_Area</vt:lpstr>
      <vt:lpstr>'1.3i'!Print_Area</vt:lpstr>
      <vt:lpstr>'10 (NTI)'!Print_Area</vt:lpstr>
      <vt:lpstr>'1a(RRB)'!Print_Area</vt:lpstr>
      <vt:lpstr>'1b'!Print_Area</vt:lpstr>
      <vt:lpstr>'1c (Rev.)'!Print_Area</vt:lpstr>
      <vt:lpstr>'3.3'!Print_Area</vt:lpstr>
      <vt:lpstr>'7(Cont.)'!Print_Area</vt:lpstr>
      <vt:lpstr>'8'!Print_Area</vt:lpstr>
      <vt:lpstr>'9'!Print_Area</vt:lpstr>
      <vt:lpstr>'O&amp;M'!Print_Area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hp</cp:lastModifiedBy>
  <cp:lastPrinted>2020-01-13T09:13:50Z</cp:lastPrinted>
  <dcterms:created xsi:type="dcterms:W3CDTF">1996-10-14T23:33:28Z</dcterms:created>
  <dcterms:modified xsi:type="dcterms:W3CDTF">2020-01-17T06:51:03Z</dcterms:modified>
</cp:coreProperties>
</file>